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mc:AlternateContent xmlns:mc="http://schemas.openxmlformats.org/markup-compatibility/2006">
    <mc:Choice Requires="x15">
      <x15ac:absPath xmlns:x15ac="http://schemas.microsoft.com/office/spreadsheetml/2010/11/ac" url="https://sotonac-my.sharepoint.com/personal/tms2g12_soton_ac_uk/Documents/Costing elearning/"/>
    </mc:Choice>
  </mc:AlternateContent>
  <xr:revisionPtr revIDLastSave="4" documentId="109_{9CF493A4-ACE0-D84A-BEE5-4D5557114CDD}" xr6:coauthVersionLast="47" xr6:coauthVersionMax="47" xr10:uidLastSave="{6E9A7363-CA52-194A-98D2-1FBABBA1D32C}"/>
  <bookViews>
    <workbookView xWindow="-38400" yWindow="-2980" windowWidth="38400" windowHeight="20980" xr2:uid="{00000000-000D-0000-FFFF-FFFF00000000}"/>
  </bookViews>
  <sheets>
    <sheet name="Start here" sheetId="10" r:id="rId1"/>
    <sheet name="Project_Input" sheetId="1" r:id="rId2"/>
    <sheet name="Cost_Breakdown" sheetId="14" r:id="rId3"/>
    <sheet name="Risk_Assessment" sheetId="5" r:id="rId4"/>
    <sheet name="Calculations" sheetId="13" r:id="rId5"/>
    <sheet name="Lookup_Tables" sheetId="2" r:id="rId6"/>
    <sheet name="Maintenance_Guide" sheetId="15" r:id="rId7"/>
  </sheets>
  <definedNames>
    <definedName name="Accessibility_Testing_Level">Project_Input!$B$39</definedName>
    <definedName name="Animation_Type">Project_Input!$B$47</definedName>
    <definedName name="Assessment_Questions">Project_Input!$B$26</definedName>
    <definedName name="Assessment_Type">Project_Input!$B$25</definedName>
    <definedName name="Audio_Required">Project_Input!$B$45</definedName>
    <definedName name="Authoring_Tool">Project_Input!$B$16</definedName>
    <definedName name="Base_Development_Hours">Calculations!$B$18</definedName>
    <definedName name="Certificate_Type">Project_Input!$B$30</definedName>
    <definedName name="Compliance_Level">Project_Input!$B$36</definedName>
    <definedName name="Content_Type">Project_Input!$B$8</definedName>
    <definedName name="Contingency">Calculations!$B$70</definedName>
    <definedName name="Development_Subtotal">Calculations!$B$38</definedName>
    <definedName name="Existing_Content_Percent">Project_Input!$B$10</definedName>
    <definedName name="LD_Rate">Project_Input!$B$50</definedName>
    <definedName name="Media_Subtotal">Calculations!$B$52</definedName>
    <definedName name="New_Content_Percent">Project_Input!$B$9</definedName>
    <definedName name="Number_Scenarios">Project_Input!$B$20</definedName>
    <definedName name="Platform">Project_Input!$B$12</definedName>
    <definedName name="Platform_Hosting_Cost">Project_Input!$B$13</definedName>
    <definedName name="_xlnm.Print_Area" localSheetId="2">Cost_Breakdown!$A$1:$G$98</definedName>
    <definedName name="Project_Duration">Project_Input!$B$7</definedName>
    <definedName name="Project_Name">Project_Input!$B$6</definedName>
    <definedName name="Project_Subtotal">Calculations!$B$69</definedName>
    <definedName name="Reflection_Activities">Project_Input!$B$27</definedName>
    <definedName name="Scenario_Complexity">Project_Input!$B$21</definedName>
    <definedName name="Scenario_Hours_Each">Calculations!$B$19</definedName>
    <definedName name="SME_Cost_Total">Calculations!$B$61</definedName>
    <definedName name="SME_Rate">Project_Input!$B$51</definedName>
    <definedName name="Target_Audience">Project_Input!$B$11</definedName>
    <definedName name="Total_Dev_Hours">Calculations!$B$27</definedName>
    <definedName name="Total_Project_Cost">Calculations!$B$72</definedName>
    <definedName name="Total_Scenario_Hours">Calculations!$B$21</definedName>
    <definedName name="Video_Scenarios_Required">Project_Input!$B$42</definedName>
    <definedName name="Visual_Media_Type">Project_Input!$B$46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1" i="15" l="1"/>
  <c r="C21" i="1"/>
  <c r="B19" i="13"/>
  <c r="B20" i="13" s="1"/>
  <c r="B22" i="1"/>
  <c r="B79" i="13"/>
  <c r="B89" i="13"/>
  <c r="C89" i="13" s="1"/>
  <c r="B75" i="13"/>
  <c r="B69" i="14" s="1"/>
  <c r="B56" i="1"/>
  <c r="B11" i="14"/>
  <c r="C14" i="13"/>
  <c r="B14" i="13"/>
  <c r="B91" i="13"/>
  <c r="B87" i="13"/>
  <c r="B14" i="5"/>
  <c r="D14" i="5" s="1"/>
  <c r="B13" i="5"/>
  <c r="D13" i="5" s="1"/>
  <c r="B12" i="5"/>
  <c r="D12" i="5" s="1"/>
  <c r="B11" i="5"/>
  <c r="D11" i="5" s="1"/>
  <c r="B10" i="5"/>
  <c r="D10" i="5" s="1"/>
  <c r="B9" i="5"/>
  <c r="D9" i="5" s="1"/>
  <c r="B22" i="13"/>
  <c r="C54" i="14"/>
  <c r="B10" i="14"/>
  <c r="B9" i="14"/>
  <c r="B8" i="14"/>
  <c r="B7" i="14"/>
  <c r="B5" i="14"/>
  <c r="B104" i="13"/>
  <c r="B81" i="13"/>
  <c r="B59" i="13"/>
  <c r="C59" i="13" s="1"/>
  <c r="B57" i="13"/>
  <c r="C57" i="13" s="1"/>
  <c r="B50" i="13"/>
  <c r="C50" i="13" s="1"/>
  <c r="B48" i="13"/>
  <c r="C48" i="13" s="1"/>
  <c r="B46" i="13"/>
  <c r="B42" i="14" s="1"/>
  <c r="B44" i="13"/>
  <c r="B41" i="14" s="1"/>
  <c r="B42" i="13"/>
  <c r="C42" i="13" s="1"/>
  <c r="B24" i="13" a="1"/>
  <c r="B24" i="13" s="1"/>
  <c r="C24" i="13" s="1"/>
  <c r="B23" i="13" a="1"/>
  <c r="B23" i="13" s="1"/>
  <c r="C23" i="13" s="1"/>
  <c r="C13" i="13" a="1"/>
  <c r="C13" i="13" s="1"/>
  <c r="C12" i="13" a="1"/>
  <c r="C12" i="13" s="1"/>
  <c r="C11" i="13" a="1"/>
  <c r="C11" i="13" s="1"/>
  <c r="C10" i="13" a="1"/>
  <c r="C10" i="13" s="1"/>
  <c r="C9" i="13" a="1"/>
  <c r="C9" i="13" s="1"/>
  <c r="C7" i="13" a="1"/>
  <c r="C7" i="13" s="1"/>
  <c r="C6" i="13" a="1"/>
  <c r="C6" i="13" s="1"/>
  <c r="C5" i="13" a="1"/>
  <c r="C5" i="13" s="1"/>
  <c r="B13" i="13" a="1"/>
  <c r="B13" i="13" s="1"/>
  <c r="B12" i="13" a="1"/>
  <c r="B12" i="13" s="1"/>
  <c r="B11" i="13" a="1"/>
  <c r="B11" i="13" s="1"/>
  <c r="B10" i="13" a="1"/>
  <c r="B10" i="13" s="1"/>
  <c r="B9" i="13" a="1"/>
  <c r="B9" i="13" s="1"/>
  <c r="B7" i="13" a="1"/>
  <c r="B7" i="13" s="1"/>
  <c r="B6" i="13" a="1"/>
  <c r="B6" i="13" s="1"/>
  <c r="B5" i="13" a="1"/>
  <c r="B5" i="13" s="1"/>
  <c r="B32" i="5"/>
  <c r="B31" i="5"/>
  <c r="B29" i="5"/>
  <c r="B13" i="1"/>
  <c r="B17" i="1"/>
  <c r="B12" i="1"/>
  <c r="B83" i="13" s="1"/>
  <c r="A3" i="5"/>
  <c r="A3" i="2"/>
  <c r="A3" i="1"/>
  <c r="B18" i="13" l="1"/>
  <c r="B31" i="13" s="1"/>
  <c r="C31" i="13" s="1"/>
  <c r="A80" i="15"/>
  <c r="B21" i="13"/>
  <c r="C20" i="13"/>
  <c r="C19" i="13"/>
  <c r="B8" i="13" a="1"/>
  <c r="B8" i="13" s="1"/>
  <c r="B6" i="14"/>
  <c r="B93" i="13"/>
  <c r="B28" i="5"/>
  <c r="C8" i="13" a="1"/>
  <c r="C8" i="13" s="1"/>
  <c r="B74" i="13"/>
  <c r="B68" i="14" s="1"/>
  <c r="B24" i="5"/>
  <c r="B30" i="5"/>
  <c r="A23" i="5"/>
  <c r="B34" i="13"/>
  <c r="C34" i="13" s="1"/>
  <c r="B43" i="14"/>
  <c r="C75" i="13"/>
  <c r="B35" i="13"/>
  <c r="C44" i="13"/>
  <c r="C46" i="13"/>
  <c r="B44" i="14"/>
  <c r="B40" i="14"/>
  <c r="B52" i="13"/>
  <c r="G22" i="14" s="1"/>
  <c r="B33" i="13"/>
  <c r="C22" i="13"/>
  <c r="B57" i="1"/>
  <c r="A22" i="5"/>
  <c r="C18" i="13" l="1"/>
  <c r="B31" i="14"/>
  <c r="B25" i="13"/>
  <c r="C25" i="13" s="1"/>
  <c r="B32" i="13"/>
  <c r="C32" i="13" s="1"/>
  <c r="C74" i="13"/>
  <c r="B34" i="14"/>
  <c r="C21" i="13"/>
  <c r="C35" i="13"/>
  <c r="B35" i="14"/>
  <c r="C52" i="13"/>
  <c r="B66" i="13"/>
  <c r="C66" i="13" s="1"/>
  <c r="B33" i="14"/>
  <c r="C33" i="13"/>
  <c r="B45" i="14"/>
  <c r="B32" i="14" l="1"/>
  <c r="B36" i="13"/>
  <c r="B38" i="13" s="1"/>
  <c r="C38" i="13" s="1"/>
  <c r="B27" i="13"/>
  <c r="B97" i="13" s="1"/>
  <c r="C36" i="13" l="1"/>
  <c r="B36" i="14"/>
  <c r="G21" i="14"/>
  <c r="B65" i="13"/>
  <c r="C65" i="13" s="1"/>
  <c r="B58" i="13"/>
  <c r="C58" i="13" s="1"/>
  <c r="B98" i="13"/>
  <c r="B17" i="14"/>
  <c r="C27" i="13"/>
  <c r="B61" i="13" l="1"/>
  <c r="G23" i="14" s="1"/>
  <c r="B100" i="13"/>
  <c r="B37" i="14"/>
  <c r="B64" i="14" l="1" a="1"/>
  <c r="B64" i="14" s="1"/>
  <c r="B18" i="14"/>
  <c r="B59" i="14"/>
  <c r="B61" i="14"/>
  <c r="B60" i="14"/>
  <c r="B48" i="14" a="1"/>
  <c r="B48" i="14" s="1"/>
  <c r="B63" i="14"/>
  <c r="C61" i="13"/>
  <c r="B67" i="13"/>
  <c r="C67" i="13" s="1"/>
  <c r="B69" i="13" l="1"/>
  <c r="B51" i="14" s="1" a="1"/>
  <c r="B51" i="14" s="1"/>
  <c r="C69" i="13" l="1"/>
  <c r="B70" i="13"/>
  <c r="G24" i="14" s="1"/>
  <c r="A18" i="5"/>
  <c r="A19" i="5"/>
  <c r="B6" i="5"/>
  <c r="A17" i="5"/>
  <c r="B52" i="14" l="1" a="1"/>
  <c r="B52" i="14" s="1"/>
  <c r="B72" i="13"/>
  <c r="C72" i="13" s="1"/>
  <c r="C70" i="13"/>
  <c r="B106" i="13" l="1"/>
  <c r="C51" i="14"/>
  <c r="B102" i="13"/>
  <c r="B13" i="14"/>
  <c r="B85" i="13"/>
  <c r="C52" i="14"/>
  <c r="C35" i="14"/>
  <c r="C44" i="14"/>
  <c r="C31" i="14"/>
  <c r="C36" i="14"/>
  <c r="C43" i="14"/>
  <c r="C40" i="14"/>
  <c r="B54" i="14"/>
  <c r="C42" i="14"/>
  <c r="C41" i="14"/>
  <c r="C48" i="14"/>
  <c r="C37" i="14"/>
  <c r="C33" i="14"/>
  <c r="C45" i="14"/>
  <c r="B108" i="13"/>
  <c r="C34" i="14"/>
  <c r="C32" i="14"/>
  <c r="B15" i="1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<sst xmlns="http://schemas.openxmlformats.org/spreadsheetml/2006/main" count="826" uniqueCount="663">
  <si>
    <t xml:space="preserve">University of Southampton eLearning Cost Calculator </t>
  </si>
  <si>
    <t>About this tool</t>
  </si>
  <si>
    <t>Tool purpose</t>
  </si>
  <si>
    <t>This evidence-based calculator provides accurate time and cost estimates for eLearning development projects in healthcare and educational contexts. It incorporates peer-reviewed research and industry standards to support project planning and budget allocation decisions.</t>
  </si>
  <si>
    <t>Scope</t>
  </si>
  <si>
    <t>Suitable for: University of Southampton academic staff, external healthcare training providers, educational content developers</t>
  </si>
  <si>
    <t>Content types: Healthcare training, educational modules, compliance training, scenario-based learning</t>
  </si>
  <si>
    <t>Version information</t>
  </si>
  <si>
    <t>Current Version: 2.1</t>
  </si>
  <si>
    <t>Last Updated: 30 September 2025</t>
  </si>
  <si>
    <t>Development history</t>
  </si>
  <si>
    <t>v1.0 (2025) - Initial framework implementation</t>
  </si>
  <si>
    <t>v2.0 (2025) - Added compliance multipliers, AI adjustments</t>
  </si>
  <si>
    <t>v2.1 (2025) - Enhanced user interface, validation improvements</t>
  </si>
  <si>
    <t>Primary research sources:</t>
  </si>
  <si>
    <t>• Chapman Alliance (2010) - Industry benchmark study (n=249 organisations)</t>
  </si>
  <si>
    <t>• ATD Research (2023) - Updated development time standards</t>
  </si>
  <si>
    <t>• Tucker (2025) - AI-adjusted estimates and practitioner data</t>
  </si>
  <si>
    <t>• University sector practice - Healthcare content specialisation</t>
  </si>
  <si>
    <t>Compliance standards:</t>
  </si>
  <si>
    <t>• WCAG 2.1 AA - Web Content Accessibility Guidelines</t>
  </si>
  <si>
    <t>• PSBAR 2018 - Public Sector Bodies Accessibility Regulations</t>
  </si>
  <si>
    <t>• EAA 2025 - European Accessibility Act</t>
  </si>
  <si>
    <t>• Healthcare content validation requirements</t>
  </si>
  <si>
    <t>Calculator features</t>
  </si>
  <si>
    <t>Evidence-based multipliers:</t>
  </si>
  <si>
    <t>• Platform-specific development ratios</t>
  </si>
  <si>
    <t>• Complexity scaling factors (Basic 1.0x, Intermediate 1.5x, Advanced 2.0x)</t>
  </si>
  <si>
    <t>• Healthcare SME involvement (35-40% of development time)</t>
  </si>
  <si>
    <t>• Compliance overhead calculations (WCAG + PSBAR)</t>
  </si>
  <si>
    <t>• Risk assessment and contingency planning</t>
  </si>
  <si>
    <t>Quality assurance:</t>
  </si>
  <si>
    <t>• Confidence ratings based on research evidence quality</t>
  </si>
  <si>
    <t>• Input validation to prevent calculation errors</t>
  </si>
  <si>
    <t>• Cross-sheet verification and error handling</t>
  </si>
  <si>
    <t>How to use this calculator</t>
  </si>
  <si>
    <t>Quick start:</t>
  </si>
  <si>
    <t>1. Enter project details in 'Project_Input' sheet</t>
  </si>
  <si>
    <t>2. Review cost breakdown in 'Cost_Breakdown' sheet</t>
  </si>
  <si>
    <t>3. Assess project risks in 'Risk_Assessment' sheet</t>
  </si>
  <si>
    <t>For detailed calculations, see 'Calculations' sheet</t>
  </si>
  <si>
    <t>For reference data and multipliers, see 'Lookup_Tables' sheet</t>
  </si>
  <si>
    <t>Support information</t>
  </si>
  <si>
    <t>Tool developed by: Tamsyn Smith, Senior Learning Designer Team Lead, Digital Learning, iSolutions</t>
  </si>
  <si>
    <t>University of Southampton</t>
  </si>
  <si>
    <t>For questions or suggestions:</t>
  </si>
  <si>
    <t>Email: T.M.Smith@soton.ac.uk</t>
  </si>
  <si>
    <t>References</t>
  </si>
  <si>
    <t>Chapman, B. (2010). How long does it take to create learning? Chapman Alliance LLC.</t>
  </si>
  <si>
    <t>Defelice, R. (2023). Want to speed up training development time? TD Magazine, November 2023.</t>
  </si>
  <si>
    <t>Tucker, C. (2025). Time estimates for elearning development. Retrieved from christytuckerlearning.com</t>
  </si>
  <si>
    <t>Moore, C. (n.d.). Scenario based training example: Connect with Haji Kamal. Training Design.</t>
  </si>
  <si>
    <t>Piskurich, G. M. (2015). Rapid instructional design: Learning ID fast and right (3rd ed.). Pfeiffer.</t>
  </si>
  <si>
    <t>Research.com. (2025). eLearning trends: 2025 current data, analysis &amp; insights.</t>
  </si>
  <si>
    <t>Evidence-based pricing tool for healthcare and educational content</t>
  </si>
  <si>
    <t>Version 2.2</t>
  </si>
  <si>
    <t>Instructions: Complete all fields below. Green cells indicate valid inputs, red cells show conflicts.</t>
  </si>
  <si>
    <t>Purpose: Input all project specifications here. Use dropdowns and validation indicators.</t>
  </si>
  <si>
    <t>Project name:</t>
  </si>
  <si>
    <t>Content duration (in minutes):</t>
  </si>
  <si>
    <t>Content type:</t>
  </si>
  <si>
    <t>(Dropdown: Clinical/healthcare, General academic, Professional development</t>
  </si>
  <si>
    <t>Percentage new content:</t>
  </si>
  <si>
    <t>Percentage existing content:</t>
  </si>
  <si>
    <t>Target audience:</t>
  </si>
  <si>
    <t>(Dropdown: UoS students, UoS staff/PGRs, External professionals)</t>
  </si>
  <si>
    <t>Auto-selected platform:</t>
  </si>
  <si>
    <t>Annual hosting cost (Course catalog only)</t>
  </si>
  <si>
    <t>(This is expected to be a percentage of the revenue)</t>
  </si>
  <si>
    <t xml:space="preserve"> </t>
  </si>
  <si>
    <t>Choose authoring tool</t>
  </si>
  <si>
    <t>Authoring tool:</t>
  </si>
  <si>
    <t>Articulate Storyline 360</t>
  </si>
  <si>
    <t>Licence warning:</t>
  </si>
  <si>
    <t xml:space="preserve">Scenario configuration  </t>
  </si>
  <si>
    <t>Number of scenarios: (0-20+, warning &gt;20)</t>
  </si>
  <si>
    <t>Scenario complexity: (only if scenarios &gt; 0)</t>
  </si>
  <si>
    <t>Moderate (3-4 decisions)</t>
  </si>
  <si>
    <t>(Dropdown: Simple (1-2 decisions), Moderate (3-4 decisions), Complex (5-8 decisions))</t>
  </si>
  <si>
    <t>Tool capabilities:</t>
  </si>
  <si>
    <t>Assessment and interaction</t>
  </si>
  <si>
    <t>Assessment type:</t>
  </si>
  <si>
    <t>Basic MCQ</t>
  </si>
  <si>
    <t>(Dropdown: Basic MCQ, Comprehensive MCQ, Scenario-based, Adaptive)</t>
  </si>
  <si>
    <t>Number of assessment questions:</t>
  </si>
  <si>
    <t>Reflection activities required:</t>
  </si>
  <si>
    <t>Interactive elements:</t>
  </si>
  <si>
    <t>Moderate</t>
  </si>
  <si>
    <t>(Dropdown: Minimal, Moderate, Extensive)</t>
  </si>
  <si>
    <t>Immediate feedback required:</t>
  </si>
  <si>
    <t>Yes</t>
  </si>
  <si>
    <t>(Dropdown: Yes, No)</t>
  </si>
  <si>
    <t>Certificate integration:</t>
  </si>
  <si>
    <t>(Dropdown: None, Basic, Professional)</t>
  </si>
  <si>
    <t>Compliance and accessibility</t>
  </si>
  <si>
    <t>PSBAR applies to all UoS content. EAA applies to commercial courses sold to European customers. All options include WCAG 2.1 AA compliance as a baseline.</t>
  </si>
  <si>
    <t>About EN 301 549 and EAA compliance:</t>
  </si>
  <si>
    <t>The European Accessibility Act (EAA) uses EN 301 549 as the harmonised European standard for digital accessibility. EN 301 549 incorporates WCAG 2.1 Level AA as its foundation but extends beyond web content to cover additional ICT requirements including hardware, documentation, and specific software features.
For e-learning resources, EAA compliance requires:
- Accessibility statements for each learning resource (not just the platform)
- Documentation of technical accessibility specifications and design processes
- User feedback mechanisms for reporting accessibility issues
- Validation processes for new content before deployment
- Continuous monitoring and annual accessibility testing
All UoS content must meet PSBAR compliance. Commercial courses sold to European customers must additionally meet EAA requirements.</t>
  </si>
  <si>
    <t>Compliance level:</t>
  </si>
  <si>
    <t>PSBAR compliance (includes WCAG 2.1 AA)</t>
  </si>
  <si>
    <t>Additional compliance requirements:</t>
  </si>
  <si>
    <t>None</t>
  </si>
  <si>
    <t>Review cycles expected:</t>
  </si>
  <si>
    <t>(Dropdown: 2, 3, 4, 5+)</t>
  </si>
  <si>
    <t>Accessibility testing level:</t>
  </si>
  <si>
    <t>Expert</t>
  </si>
  <si>
    <t>(Dropdown: Basic, Comprehensive, Expert)</t>
  </si>
  <si>
    <t>Media production</t>
  </si>
  <si>
    <t>Video scenarios required:</t>
  </si>
  <si>
    <t>No</t>
  </si>
  <si>
    <t>Professional video production required:</t>
  </si>
  <si>
    <t>If video required, production hours:</t>
  </si>
  <si>
    <t>Audio narration required:</t>
  </si>
  <si>
    <t>Visual media required</t>
  </si>
  <si>
    <t>Custom graphics</t>
  </si>
  <si>
    <t>(Dropdown:None, Custom graphics, Professional photography, Both graphics and photography)</t>
  </si>
  <si>
    <t>Animation requirements:</t>
  </si>
  <si>
    <t>(Dropdown: None, Basic, Advanced)</t>
  </si>
  <si>
    <t>Staff rates</t>
  </si>
  <si>
    <t>Learning Designer hourly rate</t>
  </si>
  <si>
    <t>(Level 4, Point 35)</t>
  </si>
  <si>
    <t>SME hourly rate</t>
  </si>
  <si>
    <t>(Level 5, Point 44)</t>
  </si>
  <si>
    <t>Source: Southampton pay scales with USS pension</t>
  </si>
  <si>
    <t>Ongoing costs to consider</t>
  </si>
  <si>
    <t>⚠️ Articulate license costs:</t>
  </si>
  <si>
    <t>⚠️ Platform hosting costs:</t>
  </si>
  <si>
    <t>⚠️ Content maintenance:</t>
  </si>
  <si>
    <t>⚠️ Budget for SME time and updates</t>
  </si>
  <si>
    <t>⚠️ Accessibility updates:</t>
  </si>
  <si>
    <t>⚠️ May require updates for compliance changes</t>
  </si>
  <si>
    <t>Note: These costs are NOT included in development calculation above</t>
  </si>
  <si>
    <t>This breakdown shows detailed costs for your eLearning project, including development, media production, and SME requirements.</t>
  </si>
  <si>
    <t>Project information</t>
  </si>
  <si>
    <t>Platform:</t>
  </si>
  <si>
    <t>Complexity level:</t>
  </si>
  <si>
    <t>Content duration:</t>
  </si>
  <si>
    <t>TOTAL PROJECT COST:</t>
  </si>
  <si>
    <t>(Includes 20% contingency)</t>
  </si>
  <si>
    <t>Cost per learning hour:</t>
  </si>
  <si>
    <t>Estimated timeline:</t>
  </si>
  <si>
    <t>SME time required:</t>
  </si>
  <si>
    <t>Cost breakdown</t>
  </si>
  <si>
    <t>Category</t>
  </si>
  <si>
    <t>Amount</t>
  </si>
  <si>
    <t>Development</t>
  </si>
  <si>
    <t>Media</t>
  </si>
  <si>
    <t>SME</t>
  </si>
  <si>
    <t>Contingency</t>
  </si>
  <si>
    <t>Detailed cost breakdown</t>
  </si>
  <si>
    <t>Development costs</t>
  </si>
  <si>
    <t>Base development</t>
  </si>
  <si>
    <t>Scenario development</t>
  </si>
  <si>
    <t>Assessment creation</t>
  </si>
  <si>
    <t>Reflection activities</t>
  </si>
  <si>
    <t>Certificate integration</t>
  </si>
  <si>
    <t>Compliance overhead</t>
  </si>
  <si>
    <t>Development subtotal</t>
  </si>
  <si>
    <t>Video scenarios</t>
  </si>
  <si>
    <t>Audio production</t>
  </si>
  <si>
    <t>Animation</t>
  </si>
  <si>
    <t>Professional photography</t>
  </si>
  <si>
    <t>Media subtotal</t>
  </si>
  <si>
    <t>Project management and SME</t>
  </si>
  <si>
    <t>SME time (validation and review)</t>
  </si>
  <si>
    <t>Project totals</t>
  </si>
  <si>
    <t>Subtotal (before contingency)</t>
  </si>
  <si>
    <t>Contingency (20%)</t>
  </si>
  <si>
    <t>TOTAL PROJECT COST</t>
  </si>
  <si>
    <t>SME time requirements</t>
  </si>
  <si>
    <t>Note: Clinical/healthcare content requires 35% SME time vs 30% for general content due to additional accuracy validation requirements.</t>
  </si>
  <si>
    <t>Content validation:</t>
  </si>
  <si>
    <t>Clinical accuracy review:</t>
  </si>
  <si>
    <t>Feedback incorporation:</t>
  </si>
  <si>
    <t>Total SME hours:</t>
  </si>
  <si>
    <t>Total SME cost:</t>
  </si>
  <si>
    <t>Annual platform hosting:</t>
  </si>
  <si>
    <t>Annual software licenses:</t>
  </si>
  <si>
    <t>Note: These costs are in addition to the development cost above</t>
  </si>
  <si>
    <t>and should be budgeted annually for course maintenance.</t>
  </si>
  <si>
    <t>What's included:</t>
  </si>
  <si>
    <t>• Complete instructional design and content development</t>
  </si>
  <si>
    <t>• All media production (graphics, audio, video as specified)</t>
  </si>
  <si>
    <t>• Quality assurance testing</t>
  </si>
  <si>
    <t>• SME review cycles and feedback incorporation</t>
  </si>
  <si>
    <t>• 20% contingency for unforeseen requirements</t>
  </si>
  <si>
    <t>What's not included:</t>
  </si>
  <si>
    <t>• Annual accessibility testing and monitoring</t>
  </si>
  <si>
    <t>• Annual review and updates to accessibility statements</t>
  </si>
  <si>
    <t>• Annual platform hosting fees (shown separately)</t>
  </si>
  <si>
    <t>• Ongoing software license costs (shown separately)</t>
  </si>
  <si>
    <t>• Post-launch content updates or modifications</t>
  </si>
  <si>
    <t>• Translation or localisation services</t>
  </si>
  <si>
    <t>• Learning analytics implementation</t>
  </si>
  <si>
    <t>Note: EAA compliance requires annual accessibility testing and continuous monitoring. Budget approximately 15-20% of original development hours annually for accessibility maintenance, statement updates, and validation of content changes.</t>
  </si>
  <si>
    <t>Purpose: Project risk evaluation and strategic recommendations based on inputs.
Risk Scoring System:
• Risk score 0-1: LOW (minimal mitigation required)
• Risk score 2-3: MEDIUM (moderate oversight needed)
• Risk score 4+: HIGH (intensive management required)
The sheet provides automatic risk scoring with platform recommendations and mitigation strategies.</t>
  </si>
  <si>
    <t>Risk assessment</t>
  </si>
  <si>
    <t>Risk Level:</t>
  </si>
  <si>
    <t>Risk Factor</t>
  </si>
  <si>
    <t>Present</t>
  </si>
  <si>
    <t>Weight</t>
  </si>
  <si>
    <t>Score</t>
  </si>
  <si>
    <t>High scenario count (&gt;5)</t>
  </si>
  <si>
    <t>New content &gt;80%</t>
  </si>
  <si>
    <t>Advanced complexity</t>
  </si>
  <si>
    <t>Multiple compliance</t>
  </si>
  <si>
    <t>Extensive media</t>
  </si>
  <si>
    <t>Complex assessment</t>
  </si>
  <si>
    <t>Risk mitigation recommendations:</t>
  </si>
  <si>
    <t>Recommended actions:</t>
  </si>
  <si>
    <t>Total risk score:</t>
  </si>
  <si>
    <t>Platform and authoring tool recommendations</t>
  </si>
  <si>
    <t>Based on your specifications:</t>
  </si>
  <si>
    <t>Selected platform:</t>
  </si>
  <si>
    <t>Selected authoring tool:</t>
  </si>
  <si>
    <t>Platform suitability:</t>
  </si>
  <si>
    <t>Authoring tool suitability:</t>
  </si>
  <si>
    <t>Recommendations:</t>
  </si>
  <si>
    <t>This sheet shows the detailed calculation breakdown for your project estimate.</t>
  </si>
  <si>
    <t>Project overview</t>
  </si>
  <si>
    <t>Content duration (minutes):</t>
  </si>
  <si>
    <t>Number of scenarios:</t>
  </si>
  <si>
    <t>Scenario complexity:</t>
  </si>
  <si>
    <t>New content %:</t>
  </si>
  <si>
    <t>Existing content %:</t>
  </si>
  <si>
    <t>Compliance level</t>
  </si>
  <si>
    <t>Development hours breakdown</t>
  </si>
  <si>
    <t>Base development hours:</t>
  </si>
  <si>
    <t>Scenario hours per scenario:</t>
  </si>
  <si>
    <t>Total scenario hours:</t>
  </si>
  <si>
    <t>Assessment hours:</t>
  </si>
  <si>
    <t>Reflection hours:</t>
  </si>
  <si>
    <t>Certificate hours:</t>
  </si>
  <si>
    <t>Compliance overhead hours (WCAG/PSBAR/EAA):</t>
  </si>
  <si>
    <t>Total development hours:</t>
  </si>
  <si>
    <t>Base development cost:</t>
  </si>
  <si>
    <t>Scenario development cost:</t>
  </si>
  <si>
    <t>Assessment creation cost:</t>
  </si>
  <si>
    <t>Reflection activities cost:</t>
  </si>
  <si>
    <t>Certificate integration cost:</t>
  </si>
  <si>
    <t>Compliance overhead cost:</t>
  </si>
  <si>
    <t>Development subtotal:</t>
  </si>
  <si>
    <t>Video scenarios cost:</t>
  </si>
  <si>
    <t>Custom graphics cost:</t>
  </si>
  <si>
    <t>Audio production cost:</t>
  </si>
  <si>
    <t>Animation cost:</t>
  </si>
  <si>
    <t>Photography cost:</t>
  </si>
  <si>
    <t>Media subtotal:</t>
  </si>
  <si>
    <t>SME requirements</t>
  </si>
  <si>
    <t>SME time varies by content type:</t>
  </si>
  <si>
    <t>SME percentage (35% clinical; 30% general):</t>
  </si>
  <si>
    <t>SME hours required:</t>
  </si>
  <si>
    <t>SME hourly rate:</t>
  </si>
  <si>
    <t>SME cost:</t>
  </si>
  <si>
    <t>Project subtotal (before contingency):</t>
  </si>
  <si>
    <t>Contingency (20%):</t>
  </si>
  <si>
    <t>Annual platform cost:</t>
  </si>
  <si>
    <t>Annual license cost:</t>
  </si>
  <si>
    <t>Validation and quality checks</t>
  </si>
  <si>
    <t>Scenario validation:</t>
  </si>
  <si>
    <t>Content percentages:</t>
  </si>
  <si>
    <t>Budget assessment:</t>
  </si>
  <si>
    <t>Duration reasonableness:</t>
  </si>
  <si>
    <t>Scenario count validation:</t>
  </si>
  <si>
    <t>Compliance validation:</t>
  </si>
  <si>
    <t>EAA applicability check:</t>
  </si>
  <si>
    <t>Recommendations and guidance</t>
  </si>
  <si>
    <t>Timeline estimate:</t>
  </si>
  <si>
    <t>Timeline guidance:</t>
  </si>
  <si>
    <t>SME requirement guidance:</t>
  </si>
  <si>
    <t>Risk assessment:</t>
  </si>
  <si>
    <t>Scenario guidance:</t>
  </si>
  <si>
    <t>Recommended next steps:</t>
  </si>
  <si>
    <t>Key considerations:</t>
  </si>
  <si>
    <t>Purpose: Reference data for calculations. Do not modify unless updating framework standards.</t>
  </si>
  <si>
    <t>Platform</t>
  </si>
  <si>
    <t>Annual hosting cost</t>
  </si>
  <si>
    <t>Target audience</t>
  </si>
  <si>
    <t>Blackboard Ultra</t>
  </si>
  <si>
    <t>UoS students</t>
  </si>
  <si>
    <t>Totara</t>
  </si>
  <si>
    <t>UoS staff and PGRs</t>
  </si>
  <si>
    <t>Course Catalog</t>
  </si>
  <si>
    <t>Variable (user input)</t>
  </si>
  <si>
    <t>External professionals (CPD)</t>
  </si>
  <si>
    <t>Max complexity</t>
  </si>
  <si>
    <t>Direct platform creation</t>
  </si>
  <si>
    <t>Simple</t>
  </si>
  <si>
    <t>MS Forms</t>
  </si>
  <si>
    <t>MS PowerPoint</t>
  </si>
  <si>
    <t>Articulate Rise 360</t>
  </si>
  <si>
    <t>£700+</t>
  </si>
  <si>
    <t>Complex</t>
  </si>
  <si>
    <t>ThingLink</t>
  </si>
  <si>
    <t>Authoring tool</t>
  </si>
  <si>
    <t>No scenarios</t>
  </si>
  <si>
    <t>Simple (1-2 decisions)</t>
  </si>
  <si>
    <t>Complex (5-8 decisions)</t>
  </si>
  <si>
    <t>Tool</t>
  </si>
  <si>
    <t>Description</t>
  </si>
  <si>
    <t>Interactivity level</t>
  </si>
  <si>
    <t>Minimal</t>
  </si>
  <si>
    <t>Extensive</t>
  </si>
  <si>
    <t>Scenarios Included</t>
  </si>
  <si>
    <t>1-3</t>
  </si>
  <si>
    <t>4+</t>
  </si>
  <si>
    <t>Interactive Elements</t>
  </si>
  <si>
    <t>Basic_clicks</t>
  </si>
  <si>
    <t>Hotspots_tabs</t>
  </si>
  <si>
    <t>Simulations</t>
  </si>
  <si>
    <t>Assessment Type</t>
  </si>
  <si>
    <t>Basic_MCQ</t>
  </si>
  <si>
    <t>Comprehensive_MCQ</t>
  </si>
  <si>
    <t>Scenario based</t>
  </si>
  <si>
    <t>Video Production</t>
  </si>
  <si>
    <t>3_videos</t>
  </si>
  <si>
    <t>5+ professional</t>
  </si>
  <si>
    <t>Reflection Activities</t>
  </si>
  <si>
    <t>3_components</t>
  </si>
  <si>
    <t>Advanced tools</t>
  </si>
  <si>
    <t>Hours per question</t>
  </si>
  <si>
    <t>Base hours</t>
  </si>
  <si>
    <t>Comprehensive MCQ</t>
  </si>
  <si>
    <t>Scenario-based</t>
  </si>
  <si>
    <t>Adaptive</t>
  </si>
  <si>
    <t>Compliance Type</t>
  </si>
  <si>
    <t>Multiplier</t>
  </si>
  <si>
    <t>WCAG 2.1 AA baseline + PSBAR requirements</t>
  </si>
  <si>
    <t>PSBAR + EAA compliance (includes WCAG 2.1 AA)</t>
  </si>
  <si>
    <t>WCAG + PSBAR + EAA (commercial EU customers)</t>
  </si>
  <si>
    <t>Clinical validation (reference only)</t>
  </si>
  <si>
    <t>SME time adjustment used instead (35% vs 30%)</t>
  </si>
  <si>
    <t>Compliance overhead breakdown:</t>
  </si>
  <si>
    <t>WCAG 2.1 AA baseline:</t>
  </si>
  <si>
    <t>25-30%</t>
  </si>
  <si>
    <t>Core accessibility standards</t>
  </si>
  <si>
    <t>PSBAR additional:</t>
  </si>
  <si>
    <t>5-10%</t>
  </si>
  <si>
    <t>UK public sector requirements</t>
  </si>
  <si>
    <t>EAA additional (when applicable):</t>
  </si>
  <si>
    <t>Resource statements + enhanced documentation</t>
  </si>
  <si>
    <t>Combined PSBAR</t>
  </si>
  <si>
    <t>WCAG baseline + PSBAR requirements</t>
  </si>
  <si>
    <t>Combined PSBAR + EAA:</t>
  </si>
  <si>
    <t>PSBAR (0.35) + EAA additional (0.05)</t>
  </si>
  <si>
    <t>Accessibility testing adjustments</t>
  </si>
  <si>
    <t>Testing Level</t>
  </si>
  <si>
    <t>Adjustment factor</t>
  </si>
  <si>
    <t>Basic</t>
  </si>
  <si>
    <t>Comprehensive</t>
  </si>
  <si>
    <t>Media Type</t>
  </si>
  <si>
    <t>Unit Cost</t>
  </si>
  <si>
    <t>Video scenario</t>
  </si>
  <si>
    <t>Per 3-minute scenario</t>
  </si>
  <si>
    <t>Per project</t>
  </si>
  <si>
    <t>Per hour of content</t>
  </si>
  <si>
    <t>Professional photos</t>
  </si>
  <si>
    <t>Per photoshoot</t>
  </si>
  <si>
    <t>Advanced animation</t>
  </si>
  <si>
    <t>Evidence-based multipliers: Platform hours (40-180 per finished hour). Compliance overhead: PSBAR 35%, PSBAR+EAA 40%. Media costs: £1050 per video scenario. Updated October 2025 based on EAA requirements.</t>
  </si>
  <si>
    <t>IMPORTANT: Platform hours calculation</t>
  </si>
  <si>
    <t>The "hours per finished hour" figures (40-150) represent</t>
  </si>
  <si>
    <t>COMPLETE development time including ALL Chapman phases:</t>
  </si>
  <si>
    <t>- Front-end analysis (9%)</t>
  </si>
  <si>
    <t xml:space="preserve"> Instructional design (13%)</t>
  </si>
  <si>
    <t>- Storyboarding (11%)</t>
  </si>
  <si>
    <t>- Graphic production (12%)</t>
  </si>
  <si>
    <t>- Video production (6%)</t>
  </si>
  <si>
    <t>- Audio production (6%)</t>
  </si>
  <si>
    <t>- Authoring/programming (18%)</t>
  </si>
  <si>
    <t>- QA testing (6%)</t>
  </si>
  <si>
    <t>- Project management (6%)</t>
  </si>
  <si>
    <t>- Pilot testing (4%)</t>
  </si>
  <si>
    <t>DO NOT add these phases separately to the calculation.</t>
  </si>
  <si>
    <t>Items calculated SEPARATELY: compliance overhead,</t>
  </si>
  <si>
    <t>assessment development, scenario development, media production.</t>
  </si>
  <si>
    <t>(Note: Direct platform creation is not appropriate if you want to use scenarios)</t>
  </si>
  <si>
    <t>Hours per finished hour</t>
  </si>
  <si>
    <t>Annual licence costs</t>
  </si>
  <si>
    <t>Evidence notes</t>
  </si>
  <si>
    <t>Platform-native tools only. Adjusted from Chapman (2010) 45h baseline for 1-2 decision scenarios</t>
  </si>
  <si>
    <t>Basic branching capability. Adjusted from Chapman (2010) for simplified scenarios and institutional efficiency</t>
  </si>
  <si>
    <t>Hyperlinked slides. Adjusted from Chapman (2010) 45h for 3-4 decisions to reflect 1-2 decisions in PowerPoint</t>
  </si>
  <si>
    <t>Professional rapid authoring. Based on Chapman (2010) Level 2 interactive content with institutional adjustments</t>
  </si>
  <si>
    <t>Interactive media platform. Aligns with Chapman (2010) complex scenario benchmarks (45-55h)</t>
  </si>
  <si>
    <t>Advanced authoring with full customisation. Chapman (2010) Level 2-3 interactive content standards</t>
  </si>
  <si>
    <t>Scenario hours lookup check:</t>
  </si>
  <si>
    <t>Column1</t>
  </si>
  <si>
    <t>Column2</t>
  </si>
  <si>
    <t>Column3</t>
  </si>
  <si>
    <t>Column4</t>
  </si>
  <si>
    <t>UoS eLearning Cost Calculator - Maintenance Guide</t>
  </si>
  <si>
    <t>Item</t>
  </si>
  <si>
    <t>Value</t>
  </si>
  <si>
    <t>Last Updated</t>
  </si>
  <si>
    <t>Version</t>
  </si>
  <si>
    <t>Purpose</t>
  </si>
  <si>
    <t>Technical documentation for maintaining and updating the calculator</t>
  </si>
  <si>
    <t>Calculator Architecture</t>
  </si>
  <si>
    <t>Sheet Name</t>
  </si>
  <si>
    <t>Contains</t>
  </si>
  <si>
    <t>Start here</t>
  </si>
  <si>
    <t>User documentation</t>
  </si>
  <si>
    <t>Instructions, references, version info</t>
  </si>
  <si>
    <t>Project_Input</t>
  </si>
  <si>
    <t>User data entry</t>
  </si>
  <si>
    <t>All project parameters and selections</t>
  </si>
  <si>
    <t>Cost_Breakdown</t>
  </si>
  <si>
    <t>User-facing output</t>
  </si>
  <si>
    <t>Formatted cost summary</t>
  </si>
  <si>
    <t>Risk_Assessment</t>
  </si>
  <si>
    <t>Risk analysis and contingency</t>
  </si>
  <si>
    <t>Calculations</t>
  </si>
  <si>
    <t>Backend calculations</t>
  </si>
  <si>
    <t>All formulas and intermediate values</t>
  </si>
  <si>
    <t>Lookup_Tables</t>
  </si>
  <si>
    <t>Reference data</t>
  </si>
  <si>
    <t>Platform rates, scenario hours, compliance multipliers</t>
  </si>
  <si>
    <t>Maintenance_Guide</t>
  </si>
  <si>
    <t>Technical documentation</t>
  </si>
  <si>
    <t>This guide</t>
  </si>
  <si>
    <t>Key Named Ranges - Input Parameters</t>
  </si>
  <si>
    <t>Named Range</t>
  </si>
  <si>
    <t>Cell Location</t>
  </si>
  <si>
    <t>Used In</t>
  </si>
  <si>
    <t>Project_Duration</t>
  </si>
  <si>
    <t>Project_Input B7</t>
  </si>
  <si>
    <t>Content duration in minutes</t>
  </si>
  <si>
    <t>Calculations B18</t>
  </si>
  <si>
    <t>Project_Input B12</t>
  </si>
  <si>
    <t>Auto-selected hosting platform</t>
  </si>
  <si>
    <t>Authoring_Tool</t>
  </si>
  <si>
    <t>Project_Input B16</t>
  </si>
  <si>
    <t>Scenario authoring tool selection</t>
  </si>
  <si>
    <t>Calculations B19</t>
  </si>
  <si>
    <t>Number_Scenarios</t>
  </si>
  <si>
    <t>Project_Input B20</t>
  </si>
  <si>
    <t>Count of scenarios</t>
  </si>
  <si>
    <t>Calculations B19, B21</t>
  </si>
  <si>
    <t>Scenario_Complexity</t>
  </si>
  <si>
    <t>Project_Input B21</t>
  </si>
  <si>
    <t>Complexity level</t>
  </si>
  <si>
    <t>Key Named Ranges - Calculation Outputs</t>
  </si>
  <si>
    <t>Formula Summary</t>
  </si>
  <si>
    <t>Base_Development_Hours</t>
  </si>
  <si>
    <t>Platform hosting hours</t>
  </si>
  <si>
    <t>(Project_Duration/60) × VLOOKUP(Platform)</t>
  </si>
  <si>
    <t>Scenario_Hours_Each</t>
  </si>
  <si>
    <t>Hours per individual scenario</t>
  </si>
  <si>
    <t>INDEX/MATCH on tbl_ScenarioHours</t>
  </si>
  <si>
    <t>Total_Scenario_Hours</t>
  </si>
  <si>
    <t>Calculations B21</t>
  </si>
  <si>
    <t>Total scenario development time</t>
  </si>
  <si>
    <t>Number_Scenarios × B19</t>
  </si>
  <si>
    <t>Total_Dev_Hours</t>
  </si>
  <si>
    <t>Calculations B27</t>
  </si>
  <si>
    <t>Complete development time</t>
  </si>
  <si>
    <t>Sum of all components</t>
  </si>
  <si>
    <t>Excel Table: tbl_Platforms</t>
  </si>
  <si>
    <t>Table Information</t>
  </si>
  <si>
    <t>Location</t>
  </si>
  <si>
    <t>Lookup_Tables A5:D8</t>
  </si>
  <si>
    <t>Platform hosting rates and properties</t>
  </si>
  <si>
    <t>Referenced By</t>
  </si>
  <si>
    <t>Calculations B18: VLOOKUP(Platform,tbl_Platforms,4,FALSE)</t>
  </si>
  <si>
    <t>Column</t>
  </si>
  <si>
    <t>Header</t>
  </si>
  <si>
    <t>Data Type</t>
  </si>
  <si>
    <t>Notes</t>
  </si>
  <si>
    <t>A</t>
  </si>
  <si>
    <t>Text</t>
  </si>
  <si>
    <t>Blackboard Ultra, Totara, Course Catalog</t>
  </si>
  <si>
    <t>B</t>
  </si>
  <si>
    <t>Text/Number</t>
  </si>
  <si>
    <t>£0 or "Variable (user input)"</t>
  </si>
  <si>
    <t>C</t>
  </si>
  <si>
    <t>Maps to Project_Input B11</t>
  </si>
  <si>
    <t>D</t>
  </si>
  <si>
    <t>Number</t>
  </si>
  <si>
    <t>Currently all set to 40</t>
  </si>
  <si>
    <t>Safe Modifications</t>
  </si>
  <si>
    <t>✓</t>
  </si>
  <si>
    <t>Add new platforms by inserting rows within the table</t>
  </si>
  <si>
    <t>Change hours per finished hour values in column D</t>
  </si>
  <si>
    <t>✗</t>
  </si>
  <si>
    <t>Do NOT rename column headers without updating formulas</t>
  </si>
  <si>
    <t>Excel Table: tbl_ScenarioHours</t>
  </si>
  <si>
    <t>Lookup_Tables A10:H16</t>
  </si>
  <si>
    <t>Scenario development time by tool and complexity</t>
  </si>
  <si>
    <t>Calculations B19: INDEX/MATCH on table</t>
  </si>
  <si>
    <t>Must match Project_Input B16 dropdown</t>
  </si>
  <si>
    <t>Always 0</t>
  </si>
  <si>
    <t>Hours per scenario</t>
  </si>
  <si>
    <t>Number or blank</t>
  </si>
  <si>
    <t>Blank = not supported</t>
  </si>
  <si>
    <t>E</t>
  </si>
  <si>
    <t>F</t>
  </si>
  <si>
    <t>Display only</t>
  </si>
  <si>
    <t>G</t>
  </si>
  <si>
    <t>Annual licence cost</t>
  </si>
  <si>
    <t>For user reference</t>
  </si>
  <si>
    <t>H</t>
  </si>
  <si>
    <t>Documents Chapman (2010) adjustments</t>
  </si>
  <si>
    <t>Current Tool Rates (October 2025)</t>
  </si>
  <si>
    <t>Max Complexity</t>
  </si>
  <si>
    <t>-</t>
  </si>
  <si>
    <t>Add new tools by inserting rows within the table</t>
  </si>
  <si>
    <t>Change hour values</t>
  </si>
  <si>
    <t>Leave cells BLANK for unsupported complexity (not "N/A" text)</t>
  </si>
  <si>
    <t>Do NOT rename column headers without updating Calculations B19</t>
  </si>
  <si>
    <t>Adding new complexity columns requires formula updates</t>
  </si>
  <si>
    <t>Critical Formula: Calculations B18</t>
  </si>
  <si>
    <t>Base Development Hours</t>
  </si>
  <si>
    <t>Component</t>
  </si>
  <si>
    <t>Dependencies</t>
  </si>
  <si>
    <t>Project_Duration, Platform, tbl_Platforms</t>
  </si>
  <si>
    <t>What it does</t>
  </si>
  <si>
    <t>Converts minutes to hours, multiplies by platform rate</t>
  </si>
  <si>
    <t>If This Breaks - Check:</t>
  </si>
  <si>
    <t>Platform value exists in tbl_Platforms column A</t>
  </si>
  <si>
    <t>tbl_Platforms column D contains numbers</t>
  </si>
  <si>
    <t>Named ranges point to correct cells</t>
  </si>
  <si>
    <t>Critical Formula: Calculations B19</t>
  </si>
  <si>
    <t>Scenario Hours Each</t>
  </si>
  <si>
    <t>Number_Scenarios, Authoring_Tool, Scenario_Complexity, tbl_ScenarioHours</t>
  </si>
  <si>
    <t>Returns 0 if no scenarios, otherwise looks up hours for tool/complexity combination. Returns 0 for unsupported combinations.</t>
  </si>
  <si>
    <t>Authoring_Tool value exists in tbl_ScenarioHours column A</t>
  </si>
  <si>
    <t>Scenario_Complexity matches column header exactly</t>
  </si>
  <si>
    <t>Blank cells (not "N/A" text) for unsupported combinations</t>
  </si>
  <si>
    <t>Table name is still "tbl_ScenarioHours"</t>
  </si>
  <si>
    <t>Common Maintenance Tasks</t>
  </si>
  <si>
    <t>Adding a New Platform</t>
  </si>
  <si>
    <t>Step</t>
  </si>
  <si>
    <t>Action</t>
  </si>
  <si>
    <t>Click anywhere in tbl_Platforms</t>
  </si>
  <si>
    <t>Lookup_Tables sheet</t>
  </si>
  <si>
    <t>Right-click last row → Insert → Table Row Below</t>
  </si>
  <si>
    <t>Must use table row insertion</t>
  </si>
  <si>
    <t>Fill in all columns</t>
  </si>
  <si>
    <t>Name, cost, audience, hours</t>
  </si>
  <si>
    <t>Update Project_Input B11 dropdown</t>
  </si>
  <si>
    <t>Add new platform option</t>
  </si>
  <si>
    <t>Update Project_Input B12 formula if needed</t>
  </si>
  <si>
    <t>Auto-selection logic</t>
  </si>
  <si>
    <t>Test</t>
  </si>
  <si>
    <t>Verify Calculations B18 correct</t>
  </si>
  <si>
    <t>No formula updates needed - table reference automatically includes new row</t>
  </si>
  <si>
    <t>Adding a New Authoring Tool</t>
  </si>
  <si>
    <t>Click anywhere in tbl_ScenarioHours</t>
  </si>
  <si>
    <t>Leave BLANK for unsupported complexity</t>
  </si>
  <si>
    <t>Update Project_Input B16 dropdown</t>
  </si>
  <si>
    <t>Add new tool option</t>
  </si>
  <si>
    <t>Update Project_Input B22 formula</t>
  </si>
  <si>
    <t>Tool capabilities check</t>
  </si>
  <si>
    <t>Test with each complexity level</t>
  </si>
  <si>
    <t>Verify validation works</t>
  </si>
  <si>
    <t>Changing Platform Hours</t>
  </si>
  <si>
    <t>Navigate to tbl_Platforms</t>
  </si>
  <si>
    <t>Change value in Column D</t>
  </si>
  <si>
    <t>Verify Calculations B18 updates</t>
  </si>
  <si>
    <t>Document reason and evidence source in version notes</t>
  </si>
  <si>
    <t>Changing Scenario Hours</t>
  </si>
  <si>
    <t>Navigate to tbl_ScenarioHours</t>
  </si>
  <si>
    <t>Change hour values in columns C-E</t>
  </si>
  <si>
    <t>Simple/Moderate/Complex</t>
  </si>
  <si>
    <t>Update Evidence notes (Column H)</t>
  </si>
  <si>
    <t>Explain change</t>
  </si>
  <si>
    <t>Verify Calculations B19 updates</t>
  </si>
  <si>
    <t>Leave cells BLANK for unsupported, do not use "N/A" text</t>
  </si>
  <si>
    <t>Troubleshooting Guide</t>
  </si>
  <si>
    <t>Problem</t>
  </si>
  <si>
    <t>Likely Cause</t>
  </si>
  <si>
    <t>Solution</t>
  </si>
  <si>
    <t>#REF! error in Calculations</t>
  </si>
  <si>
    <t>Named range pointing to deleted cell</t>
  </si>
  <si>
    <t>Formulas → Name Manager → Check for #REF! → Delete or update</t>
  </si>
  <si>
    <t>Validation showing error for valid combination</t>
  </si>
  <si>
    <t>Text "N/A" in table instead of blank</t>
  </si>
  <si>
    <t>Replace "N/A" text with blank cells in tbl_ScenarioHours</t>
  </si>
  <si>
    <t>Base development hours showing #N/A</t>
  </si>
  <si>
    <t>Platform name mismatch</t>
  </si>
  <si>
    <t>Check exact match between Project_Input B12 and tbl_Platforms column A</t>
  </si>
  <si>
    <t>Formulas stopped working after adding rows</t>
  </si>
  <si>
    <t>Added rows outside table boundaries</t>
  </si>
  <si>
    <t>Always insert rows WITHIN tables using table row insertion</t>
  </si>
  <si>
    <t>Dropdown showing old values</t>
  </si>
  <si>
    <t>Static list, not table reference</t>
  </si>
  <si>
    <t>Update dropdowns to reference table columns dynamically</t>
  </si>
  <si>
    <t>Testing Checklist</t>
  </si>
  <si>
    <t>Test Category</t>
  </si>
  <si>
    <t>Test Case</t>
  </si>
  <si>
    <t>Expected Result</t>
  </si>
  <si>
    <t>Basic Functionality</t>
  </si>
  <si>
    <t>60 min, 0 scenarios, Course Catalog</t>
  </si>
  <si>
    <t>Base hours = 40</t>
  </si>
  <si>
    <t>Simple scenario</t>
  </si>
  <si>
    <t>48 min, 1 simple PowerPoint</t>
  </si>
  <si>
    <t>Base = 32, Scenario = 14</t>
  </si>
  <si>
    <t>Platform change</t>
  </si>
  <si>
    <t>Switch between platforms</t>
  </si>
  <si>
    <t>Base hours update correctly</t>
  </si>
  <si>
    <t>Multiple scenarios</t>
  </si>
  <si>
    <t>5 scenarios</t>
  </si>
  <si>
    <t>Total = 5 × per-scenario hours</t>
  </si>
  <si>
    <t>Validation</t>
  </si>
  <si>
    <t>Invalid combo</t>
  </si>
  <si>
    <t>PowerPoint + Moderate</t>
  </si>
  <si>
    <t>Error shown, B19 = 0, B21 red</t>
  </si>
  <si>
    <t>Valid simple</t>
  </si>
  <si>
    <t>PowerPoint + Simple</t>
  </si>
  <si>
    <t>Valid shown, B19 = 14</t>
  </si>
  <si>
    <t>Valid moderate</t>
  </si>
  <si>
    <t>Rise 360 + Moderate</t>
  </si>
  <si>
    <t>Valid shown, B19 = 35</t>
  </si>
  <si>
    <t>Valid complex</t>
  </si>
  <si>
    <t>Storyline + Complex</t>
  </si>
  <si>
    <t>Valid shown, B19 = 55</t>
  </si>
  <si>
    <t>Edge Cases</t>
  </si>
  <si>
    <t>Zero scenarios</t>
  </si>
  <si>
    <t>Number_Scenarios = 0</t>
  </si>
  <si>
    <t>B20 shows "N/A - no scenarios"</t>
  </si>
  <si>
    <t>Large numbers</t>
  </si>
  <si>
    <t>999 minutes, 50 scenarios</t>
  </si>
  <si>
    <t>No errors, calculates correctly</t>
  </si>
  <si>
    <t>All tools max</t>
  </si>
  <si>
    <t>Each tool with maximum complexity</t>
  </si>
  <si>
    <t>All show valid</t>
  </si>
  <si>
    <t>Version Control Best Practices</t>
  </si>
  <si>
    <t>Phase</t>
  </si>
  <si>
    <t>Actions Required</t>
  </si>
  <si>
    <t>Before Making Changes</t>
  </si>
  <si>
    <t>Save a dated backup copy of entire workbook</t>
  </si>
  <si>
    <t>Document the planned change in Start here sheet</t>
  </si>
  <si>
    <t>Test in a copy first before modifying live calculator</t>
  </si>
  <si>
    <t>Note which formulas reference the area you're changing</t>
  </si>
  <si>
    <t>After Making Changes</t>
  </si>
  <si>
    <t>Test all affected formulas systematically</t>
  </si>
  <si>
    <t>Update version number in Start here sheet</t>
  </si>
  <si>
    <t>Update "Last Updated" date in Start here and this guide</t>
  </si>
  <si>
    <t>Document changes in development history</t>
  </si>
  <si>
    <t>Run full test suite (all test cases above)</t>
  </si>
  <si>
    <t>Contact Information</t>
  </si>
  <si>
    <t>Details</t>
  </si>
  <si>
    <t>Developer</t>
  </si>
  <si>
    <t>Tamsyn Smith</t>
  </si>
  <si>
    <t>Email</t>
  </si>
  <si>
    <t>T.M.Smith@soton.ac.uk</t>
  </si>
  <si>
    <t>Role</t>
  </si>
  <si>
    <t>Senior Learning Designer Team Lead, Digital Learning, iSolutions</t>
  </si>
  <si>
    <t>Institution</t>
  </si>
  <si>
    <t>Evidence Base Updates</t>
  </si>
  <si>
    <t>When updating time estimates, ensure changes are documented with:</t>
  </si>
  <si>
    <t>Source citation (e.g., "Updated based on Chapman 2027 revised study")</t>
  </si>
  <si>
    <t>Rationale for institutional adjustments</t>
  </si>
  <si>
    <t>Comparison to previous values</t>
  </si>
  <si>
    <t>Review date for next evidence check</t>
  </si>
  <si>
    <t>End of Maintenance Guide</t>
  </si>
  <si>
    <t>Last reviewed: 21 October 2025</t>
  </si>
  <si>
    <t>Next review: After major updates or annually</t>
  </si>
  <si>
    <t>General academic</t>
  </si>
  <si>
    <t>Link: https://sotonac.sharepoint.com/teams/my_rewardrecognition/SitePages/Pay-Scales.aspx</t>
  </si>
  <si>
    <t>Next Review: January 2026</t>
  </si>
  <si>
    <t>Test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</si>
</sst>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quot;£&quot;#,##0.00"/>
    <numFmt numFmtId="165" formatCode="0.0%"/>
  </numFmts>
  <fonts count="28" x14ac:knownFonts="1">
    <font>
      <sz val="10"/>
      <color rgb="FF000000"/>
      <name val="Arial"/>
      <scheme val="minor"/>
    </font>
    <font>
      <b/>
      <sz val="16"/>
      <color theme="0"/>
      <name val="Aptos"/>
    </font>
    <font>
      <sz val="10"/>
      <color rgb="FF000000"/>
      <name val="Aptos"/>
    </font>
    <font>
      <b/>
      <sz val="12"/>
      <color rgb="FF000000"/>
      <name val="Aptos"/>
    </font>
    <font>
      <sz val="12"/>
      <color theme="1"/>
      <name val="Aptos"/>
    </font>
    <font>
      <b/>
      <sz val="12"/>
      <color theme="0"/>
      <name val="Aptos"/>
    </font>
    <font>
      <sz val="10"/>
      <color theme="1"/>
      <name val="Aptos"/>
    </font>
    <font>
      <sz val="10"/>
      <color theme="0"/>
      <name val="Aptos"/>
    </font>
    <font>
      <b/>
      <sz val="10"/>
      <color theme="0"/>
      <name val="Aptos"/>
    </font>
    <font>
      <sz val="10"/>
      <color rgb="FF383A42"/>
      <name val="Aptos"/>
    </font>
    <font>
      <b/>
      <sz val="10"/>
      <color rgb="FF000000"/>
      <name val="Aptos"/>
    </font>
    <font>
      <sz val="10"/>
      <name val="Aptos"/>
    </font>
    <font>
      <sz val="12"/>
      <color theme="0"/>
      <name val="Aptos"/>
    </font>
    <font>
      <u/>
      <sz val="10"/>
      <color theme="10"/>
      <name val="Arial"/>
      <family val="2"/>
      <scheme val="minor"/>
    </font>
    <font>
      <u/>
      <sz val="10"/>
      <color theme="10"/>
      <name val="Aptos"/>
    </font>
    <font>
      <sz val="12"/>
      <color rgb="FF000000"/>
      <name val="Aptos"/>
    </font>
    <font>
      <i/>
      <sz val="10"/>
      <color rgb="FF000000"/>
      <name val="Aptos"/>
    </font>
    <font>
      <b/>
      <sz val="10"/>
      <color rgb="FF002E3B"/>
      <name val="Aptos"/>
    </font>
    <font>
      <sz val="8"/>
      <color rgb="FF000000"/>
      <name val="Aptos"/>
    </font>
    <font>
      <b/>
      <sz val="10"/>
      <color theme="1"/>
      <name val="Aptos"/>
    </font>
    <font>
      <sz val="10"/>
      <color rgb="FF000000"/>
      <name val="Arial"/>
      <family val="2"/>
      <scheme val="minor"/>
    </font>
    <font>
      <sz val="10"/>
      <color rgb="FF002E3B"/>
      <name val="Aptos"/>
    </font>
    <font>
      <b/>
      <sz val="24"/>
      <color rgb="FF203864"/>
      <name val="Arial"/>
      <family val="2"/>
      <scheme val="minor"/>
    </font>
    <font>
      <b/>
      <sz val="14"/>
      <color rgb="FFFFFFFF"/>
      <name val="Arial"/>
      <family val="2"/>
      <scheme val="minor"/>
    </font>
    <font>
      <sz val="14"/>
      <color rgb="FF000000"/>
      <name val="Arial"/>
      <family val="2"/>
      <scheme val="minor"/>
    </font>
    <font>
      <b/>
      <sz val="14"/>
      <color rgb="FF000000"/>
      <name val="Arial"/>
      <family val="2"/>
      <scheme val="minor"/>
    </font>
    <font>
      <b/>
      <sz val="18"/>
      <color rgb="FF4472C4"/>
      <name val="Arial"/>
      <family val="2"/>
      <scheme val="minor"/>
    </font>
    <font>
      <sz val="14"/>
      <color rgb="FF000000"/>
      <name val="Consolas"/>
      <family val="2"/>
    </font>
  </fonts>
  <fills count="11">
    <fill>
      <patternFill patternType="none"/>
    </fill>
    <fill>
      <patternFill patternType="gray125"/>
    </fill>
    <fill>
      <patternFill patternType="solid">
        <fgColor theme="6" tint="0.79998168889431442"/>
        <bgColor indexed="64"/>
      </patternFill>
    </fill>
    <fill>
      <patternFill patternType="solid">
        <fgColor rgb="FF005C84"/>
        <bgColor indexed="64"/>
      </patternFill>
    </fill>
    <fill>
      <patternFill patternType="solid">
        <fgColor rgb="FFE1E9ED"/>
        <bgColor indexed="64"/>
      </patternFill>
    </fill>
    <fill>
      <patternFill patternType="solid">
        <fgColor rgb="FFB3DCD2"/>
        <bgColor indexed="64"/>
      </patternFill>
    </fill>
    <fill>
      <patternFill patternType="solid">
        <fgColor rgb="FF008891"/>
        <bgColor indexed="64"/>
      </patternFill>
    </fill>
    <fill>
      <patternFill patternType="solid">
        <fgColor rgb="FFF5F5F5"/>
        <bgColor indexed="64"/>
      </patternFill>
    </fill>
    <fill>
      <patternFill patternType="solid">
        <fgColor rgb="FFFFFF00"/>
        <bgColor indexed="64"/>
      </patternFill>
    </fill>
    <fill>
      <patternFill patternType="solid">
        <fgColor rgb="FF002E3B"/>
        <bgColor indexed="64"/>
      </patternFill>
    </fill>
    <fill>
      <patternFill patternType="solid">
        <fgColor rgb="FFFCBC00"/>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3" fillId="0" borderId="0" applyNumberFormat="0" applyFill="0" applyBorder="0" applyAlignment="0" applyProtection="0"/>
  </cellStyleXfs>
  <cellXfs count="88">
    <xf numFmtId="0" fontId="0" fillId="0" borderId="0" xfId="0"/>
    <xf numFmtId="0" fontId="1" fillId="3" borderId="0" xfId="0" applyFont="1" applyFill="1" applyAlignment="1">
      <alignment vertical="center" wrapText="1"/>
    </xf>
    <xf numFmtId="0" fontId="1" fillId="0" borderId="0" xfId="0" applyFont="1" applyAlignment="1">
      <alignment vertical="center" wrapText="1"/>
    </xf>
    <xf numFmtId="0" fontId="2" fillId="0" borderId="0" xfId="0" applyFont="1" applyAlignment="1">
      <alignment wrapText="1"/>
    </xf>
    <xf numFmtId="0" fontId="3" fillId="4" borderId="0" xfId="0" applyFont="1" applyFill="1" applyAlignment="1">
      <alignment wrapText="1"/>
    </xf>
    <xf numFmtId="0" fontId="2" fillId="4" borderId="0" xfId="0" applyFont="1" applyFill="1" applyAlignment="1">
      <alignment wrapText="1"/>
    </xf>
    <xf numFmtId="0" fontId="2" fillId="0" borderId="0" xfId="0" applyFont="1"/>
    <xf numFmtId="14" fontId="2" fillId="0" borderId="0" xfId="0" applyNumberFormat="1" applyFont="1"/>
    <xf numFmtId="0" fontId="2" fillId="5" borderId="0" xfId="0" applyFont="1" applyFill="1"/>
    <xf numFmtId="0" fontId="5" fillId="3" borderId="0" xfId="0" applyFont="1" applyFill="1"/>
    <xf numFmtId="0" fontId="2" fillId="3" borderId="0" xfId="0" applyFont="1" applyFill="1"/>
    <xf numFmtId="0" fontId="6" fillId="0" borderId="0" xfId="0" applyFont="1"/>
    <xf numFmtId="0" fontId="7" fillId="3" borderId="0" xfId="0" applyFont="1" applyFill="1"/>
    <xf numFmtId="0" fontId="8" fillId="3" borderId="0" xfId="0" applyFont="1" applyFill="1"/>
    <xf numFmtId="0" fontId="7" fillId="0" borderId="0" xfId="0" applyFont="1"/>
    <xf numFmtId="0" fontId="2" fillId="0" borderId="0" xfId="0" applyFont="1" applyAlignment="1">
      <alignment vertical="center" wrapText="1"/>
    </xf>
    <xf numFmtId="0" fontId="9" fillId="0" borderId="0" xfId="0" applyFont="1"/>
    <xf numFmtId="0" fontId="1" fillId="3" borderId="0" xfId="0" applyFont="1" applyFill="1" applyAlignment="1">
      <alignment vertical="center"/>
    </xf>
    <xf numFmtId="0" fontId="8" fillId="3" borderId="0" xfId="0" applyFont="1" applyFill="1" applyAlignment="1">
      <alignment wrapText="1"/>
    </xf>
    <xf numFmtId="49" fontId="8" fillId="3" borderId="0" xfId="0" applyNumberFormat="1" applyFont="1" applyFill="1"/>
    <xf numFmtId="49" fontId="2" fillId="0" borderId="0" xfId="0" applyNumberFormat="1" applyFont="1"/>
    <xf numFmtId="0" fontId="7" fillId="6" borderId="1" xfId="0" applyFont="1" applyFill="1" applyBorder="1"/>
    <xf numFmtId="0" fontId="6" fillId="7" borderId="1" xfId="0" applyFont="1" applyFill="1" applyBorder="1"/>
    <xf numFmtId="0" fontId="2" fillId="3" borderId="1" xfId="0" applyFont="1" applyFill="1" applyBorder="1"/>
    <xf numFmtId="0" fontId="11" fillId="0" borderId="1" xfId="0" applyFont="1" applyBorder="1"/>
    <xf numFmtId="0" fontId="2" fillId="0" borderId="1" xfId="0" applyFont="1" applyBorder="1"/>
    <xf numFmtId="0" fontId="1" fillId="3" borderId="0" xfId="0" applyFont="1" applyFill="1" applyAlignment="1">
      <alignment horizontal="center" vertical="center" wrapText="1"/>
    </xf>
    <xf numFmtId="164" fontId="2" fillId="0" borderId="0" xfId="0" applyNumberFormat="1" applyFont="1"/>
    <xf numFmtId="0" fontId="12" fillId="0" borderId="0" xfId="0" applyFont="1"/>
    <xf numFmtId="6" fontId="2" fillId="0" borderId="0" xfId="0" applyNumberFormat="1" applyFont="1"/>
    <xf numFmtId="0" fontId="2" fillId="0" borderId="0" xfId="0" applyFont="1" applyAlignment="1">
      <alignment vertical="center"/>
    </xf>
    <xf numFmtId="0" fontId="8" fillId="3" borderId="0" xfId="0" applyFont="1" applyFill="1" applyAlignment="1">
      <alignment vertical="center" wrapText="1"/>
    </xf>
    <xf numFmtId="0" fontId="6" fillId="0" borderId="0" xfId="0" applyFont="1" applyAlignment="1">
      <alignment vertical="center"/>
    </xf>
    <xf numFmtId="0" fontId="14" fillId="0" borderId="0" xfId="1" applyFont="1"/>
    <xf numFmtId="0" fontId="6" fillId="8" borderId="0" xfId="0" applyFont="1" applyFill="1"/>
    <xf numFmtId="0" fontId="15" fillId="0" borderId="0" xfId="0" applyFont="1"/>
    <xf numFmtId="10" fontId="2" fillId="0" borderId="0" xfId="0" applyNumberFormat="1" applyFont="1"/>
    <xf numFmtId="0" fontId="5" fillId="0" borderId="0" xfId="0" applyFont="1"/>
    <xf numFmtId="0" fontId="16" fillId="0" borderId="0" xfId="0" applyFont="1"/>
    <xf numFmtId="0" fontId="17" fillId="10" borderId="0" xfId="0" applyFont="1" applyFill="1"/>
    <xf numFmtId="0" fontId="8" fillId="9" borderId="0" xfId="0" applyFont="1" applyFill="1"/>
    <xf numFmtId="0" fontId="10" fillId="0" borderId="0" xfId="0" applyFont="1"/>
    <xf numFmtId="165" fontId="2" fillId="0" borderId="0" xfId="0" applyNumberFormat="1" applyFont="1"/>
    <xf numFmtId="164" fontId="17" fillId="10" borderId="0" xfId="0" applyNumberFormat="1" applyFont="1" applyFill="1"/>
    <xf numFmtId="165" fontId="17" fillId="10" borderId="0" xfId="0" applyNumberFormat="1" applyFont="1" applyFill="1"/>
    <xf numFmtId="0" fontId="19" fillId="5" borderId="0" xfId="0" applyFont="1" applyFill="1" applyAlignment="1">
      <alignment horizontal="left"/>
    </xf>
    <xf numFmtId="0" fontId="19" fillId="5" borderId="0" xfId="0" applyFont="1" applyFill="1" applyAlignment="1">
      <alignment horizontal="left" vertical="center"/>
    </xf>
    <xf numFmtId="0" fontId="6" fillId="5" borderId="0" xfId="0" applyFont="1" applyFill="1" applyAlignment="1">
      <alignment horizontal="left"/>
    </xf>
    <xf numFmtId="0" fontId="4" fillId="0" borderId="0" xfId="0" applyFont="1" applyAlignment="1">
      <alignment vertical="center" wrapText="1"/>
    </xf>
    <xf numFmtId="0" fontId="8" fillId="0" borderId="0" xfId="0" applyFont="1"/>
    <xf numFmtId="164" fontId="7" fillId="3" borderId="0" xfId="0" applyNumberFormat="1" applyFont="1" applyFill="1"/>
    <xf numFmtId="165" fontId="7" fillId="3" borderId="0" xfId="0" applyNumberFormat="1" applyFont="1" applyFill="1"/>
    <xf numFmtId="0" fontId="6" fillId="4" borderId="0" xfId="0" applyFont="1" applyFill="1"/>
    <xf numFmtId="0" fontId="2" fillId="4" borderId="0" xfId="0" applyFont="1" applyFill="1"/>
    <xf numFmtId="0" fontId="20" fillId="0" borderId="0" xfId="0" applyFont="1"/>
    <xf numFmtId="0" fontId="18" fillId="0" borderId="0" xfId="0" applyFont="1"/>
    <xf numFmtId="164" fontId="6" fillId="0" borderId="0" xfId="0" applyNumberFormat="1" applyFont="1"/>
    <xf numFmtId="9" fontId="6" fillId="0" borderId="0" xfId="0" applyNumberFormat="1" applyFont="1"/>
    <xf numFmtId="0" fontId="21" fillId="7" borderId="0" xfId="0" applyFont="1" applyFill="1"/>
    <xf numFmtId="2" fontId="21" fillId="7" borderId="0" xfId="0" applyNumberFormat="1" applyFont="1" applyFill="1"/>
    <xf numFmtId="164" fontId="2" fillId="0" borderId="0" xfId="0" applyNumberFormat="1" applyFont="1" applyAlignment="1">
      <alignment horizontal="right"/>
    </xf>
    <xf numFmtId="8" fontId="6" fillId="0" borderId="0" xfId="0" applyNumberFormat="1" applyFont="1"/>
    <xf numFmtId="0" fontId="6" fillId="0" borderId="0" xfId="0" applyFont="1" applyAlignment="1">
      <alignment horizontal="right"/>
    </xf>
    <xf numFmtId="2" fontId="6" fillId="0" borderId="0" xfId="0" applyNumberFormat="1" applyFont="1"/>
    <xf numFmtId="2" fontId="7" fillId="3" borderId="0" xfId="0" applyNumberFormat="1" applyFont="1" applyFill="1"/>
    <xf numFmtId="0" fontId="6" fillId="0" borderId="0" xfId="0" applyFont="1" applyAlignment="1">
      <alignment vertical="center" wrapText="1"/>
    </xf>
    <xf numFmtId="6" fontId="6" fillId="0" borderId="0" xfId="0" applyNumberFormat="1" applyFont="1" applyAlignment="1">
      <alignment vertical="center" wrapText="1"/>
    </xf>
    <xf numFmtId="0" fontId="22" fillId="0" borderId="0" xfId="0" applyFont="1"/>
    <xf numFmtId="0" fontId="25" fillId="0" borderId="0" xfId="0" applyFont="1"/>
    <xf numFmtId="15" fontId="24" fillId="0" borderId="0" xfId="0" applyNumberFormat="1" applyFont="1"/>
    <xf numFmtId="0" fontId="24" fillId="0" borderId="0" xfId="0" applyFont="1"/>
    <xf numFmtId="0" fontId="26" fillId="0" borderId="0" xfId="0" applyFont="1"/>
    <xf numFmtId="0" fontId="27" fillId="0" borderId="0" xfId="0" applyFont="1"/>
    <xf numFmtId="0" fontId="23" fillId="3" borderId="0" xfId="0" applyFont="1" applyFill="1"/>
    <xf numFmtId="0" fontId="0" fillId="3" borderId="0" xfId="0" applyFill="1"/>
    <xf numFmtId="0" fontId="13" fillId="0" borderId="0" xfId="1" applyAlignment="1">
      <alignment horizontal="left" wrapText="1"/>
    </xf>
    <xf numFmtId="0" fontId="2" fillId="0" borderId="0" xfId="0" applyFont="1" applyAlignment="1">
      <alignment horizontal="left" wrapText="1"/>
    </xf>
    <xf numFmtId="0" fontId="4" fillId="4" borderId="0" xfId="0" applyFont="1" applyFill="1" applyAlignment="1">
      <alignment horizontal="center" vertical="center" wrapText="1"/>
    </xf>
    <xf numFmtId="14" fontId="2" fillId="5" borderId="0" xfId="0" applyNumberFormat="1" applyFont="1" applyFill="1" applyAlignment="1">
      <alignment horizontal="left"/>
    </xf>
    <xf numFmtId="0" fontId="1" fillId="3" borderId="0" xfId="0" applyFont="1" applyFill="1" applyAlignment="1">
      <alignment horizontal="center" vertical="center" wrapText="1"/>
    </xf>
    <xf numFmtId="0" fontId="2" fillId="4" borderId="0" xfId="0" applyFont="1" applyFill="1" applyAlignment="1">
      <alignment horizontal="left" wrapText="1"/>
    </xf>
    <xf numFmtId="0" fontId="6" fillId="5" borderId="0" xfId="0" applyFont="1" applyFill="1" applyAlignment="1">
      <alignment horizontal="left" wrapText="1"/>
    </xf>
    <xf numFmtId="0" fontId="6" fillId="0" borderId="0" xfId="0" applyFont="1" applyAlignment="1">
      <alignment horizontal="left"/>
    </xf>
    <xf numFmtId="0" fontId="2" fillId="0" borderId="0" xfId="0" applyFont="1" applyAlignment="1">
      <alignment horizontal="left" vertical="center" wrapText="1"/>
    </xf>
    <xf numFmtId="0" fontId="2" fillId="5" borderId="0" xfId="0" applyFont="1" applyFill="1" applyAlignment="1">
      <alignment horizontal="left" vertical="top" wrapText="1"/>
    </xf>
    <xf numFmtId="0" fontId="5" fillId="3" borderId="0" xfId="0" applyFont="1" applyFill="1" applyAlignment="1">
      <alignment horizontal="center"/>
    </xf>
    <xf numFmtId="0" fontId="1" fillId="3" borderId="0" xfId="0" applyFont="1" applyFill="1" applyAlignment="1">
      <alignment horizontal="center" vertical="center"/>
    </xf>
    <xf numFmtId="0" fontId="2" fillId="2" borderId="0" xfId="0" applyFont="1" applyFill="1" applyAlignment="1">
      <alignment horizontal="left" vertical="center" wrapText="1"/>
    </xf>
  </cellXfs>
  <cellStyles count="2">
    <cellStyle name="Hyperlink" xfId="1" builtinId="8"/>
    <cellStyle name="Normal" xfId="0" builtinId="0"/>
  </cellStyles>
  <dxfs count="20">
    <dxf>
      <fill>
        <patternFill>
          <bgColor rgb="FFFFC7CE"/>
        </patternFill>
      </fill>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numFmt numFmtId="10" formatCode="&quot;£&quot;#,##0_);[Red]\(&quot;£&quot;#,##0\)"/>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i val="0"/>
        <strike val="0"/>
        <condense val="0"/>
        <extend val="0"/>
        <outline val="0"/>
        <shadow val="0"/>
        <u val="none"/>
        <vertAlign val="baseline"/>
        <sz val="10"/>
        <color theme="0"/>
        <name val="Aptos"/>
        <scheme val="none"/>
      </font>
      <fill>
        <patternFill patternType="solid">
          <fgColor indexed="64"/>
          <bgColor rgb="FF005C84"/>
        </patternFill>
      </fill>
      <alignment horizontal="general" vertical="center" textRotation="0" wrapText="1" indent="0" justifyLastLine="0" shrinkToFit="0" readingOrder="0"/>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theme="1"/>
        <name val="Aptos"/>
        <scheme val="none"/>
      </font>
    </dxf>
    <dxf>
      <font>
        <b val="0"/>
        <i val="0"/>
        <strike val="0"/>
        <condense val="0"/>
        <extend val="0"/>
        <outline val="0"/>
        <shadow val="0"/>
        <u val="none"/>
        <vertAlign val="baseline"/>
        <sz val="10"/>
        <color theme="1"/>
        <name val="Aptos"/>
        <scheme val="none"/>
      </font>
    </dxf>
    <dxf>
      <font>
        <b val="0"/>
        <i val="0"/>
        <strike val="0"/>
        <condense val="0"/>
        <extend val="0"/>
        <outline val="0"/>
        <shadow val="0"/>
        <u val="none"/>
        <vertAlign val="baseline"/>
        <sz val="10"/>
        <color rgb="FF000000"/>
        <name val="Aptos"/>
        <scheme val="none"/>
      </font>
    </dxf>
    <dxf>
      <font>
        <b val="0"/>
        <i val="0"/>
        <strike val="0"/>
        <condense val="0"/>
        <extend val="0"/>
        <outline val="0"/>
        <shadow val="0"/>
        <u val="none"/>
        <vertAlign val="baseline"/>
        <sz val="10"/>
        <color rgb="FF000000"/>
        <name val="Aptos"/>
        <scheme val="none"/>
      </font>
      <fill>
        <patternFill patternType="solid">
          <fgColor indexed="64"/>
          <bgColor rgb="FF005C84"/>
        </patternFill>
      </fill>
    </dxf>
  </dxfs>
  <tableStyles count="0" defaultTableStyle="TableStyleMedium2" defaultPivotStyle="PivotStyleLight16"/>
  <colors>
    <mruColors>
      <color rgb="FF005C84"/>
      <color rgb="FF002E3B"/>
      <color rgb="FFF5F5F5"/>
      <color rgb="FFE1E9ED"/>
      <color rgb="FF9FB1BD"/>
      <color rgb="FFB3DCD2"/>
      <color rgb="FF74C9E5"/>
      <color rgb="FFFCBC00"/>
      <color rgb="FFC1D100"/>
      <color rgb="FFE1E8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Cost_Breakdown!$G$20</c:f>
              <c:strCache>
                <c:ptCount val="1"/>
                <c:pt idx="0">
                  <c:v>Amount</c:v>
                </c:pt>
              </c:strCache>
            </c:strRef>
          </c:tx>
          <c:dPt>
            <c:idx val="0"/>
            <c:bubble3D val="0"/>
            <c:spPr>
              <a:solidFill>
                <a:srgbClr val="C1D100"/>
              </a:solidFill>
              <a:ln w="19050">
                <a:solidFill>
                  <a:schemeClr val="lt1"/>
                </a:solidFill>
              </a:ln>
              <a:effectLst/>
            </c:spPr>
            <c:extLst>
              <c:ext xmlns:c16="http://schemas.microsoft.com/office/drawing/2014/chart" uri="{C3380CC4-5D6E-409C-BE32-E72D297353CC}">
                <c16:uniqueId val="{00000001-CA5D-5843-8B60-614DCE2C31BF}"/>
              </c:ext>
            </c:extLst>
          </c:dPt>
          <c:dPt>
            <c:idx val="1"/>
            <c:bubble3D val="0"/>
            <c:spPr>
              <a:solidFill>
                <a:srgbClr val="74C9E5"/>
              </a:solidFill>
              <a:ln w="19050">
                <a:solidFill>
                  <a:schemeClr val="lt1"/>
                </a:solidFill>
              </a:ln>
              <a:effectLst/>
            </c:spPr>
            <c:extLst>
              <c:ext xmlns:c16="http://schemas.microsoft.com/office/drawing/2014/chart" uri="{C3380CC4-5D6E-409C-BE32-E72D297353CC}">
                <c16:uniqueId val="{00000002-CA5D-5843-8B60-614DCE2C31B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77E-4948-AC6A-DE7B37D0DA8B}"/>
              </c:ext>
            </c:extLst>
          </c:dPt>
          <c:dPt>
            <c:idx val="3"/>
            <c:bubble3D val="0"/>
            <c:spPr>
              <a:solidFill>
                <a:srgbClr val="9FB1BD"/>
              </a:solidFill>
              <a:ln w="19050">
                <a:solidFill>
                  <a:schemeClr val="lt1"/>
                </a:solidFill>
              </a:ln>
              <a:effectLst/>
            </c:spPr>
            <c:extLst>
              <c:ext xmlns:c16="http://schemas.microsoft.com/office/drawing/2014/chart" uri="{C3380CC4-5D6E-409C-BE32-E72D297353CC}">
                <c16:uniqueId val="{00000003-CA5D-5843-8B60-614DCE2C31BF}"/>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ptos" panose="020B0004020202020204" pitchFamily="34" charset="0"/>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extLst>
          </c:dLbls>
          <c:cat>
            <c:strRef>
              <c:f>Cost_Breakdown!$F$21:$F$24</c:f>
              <c:strCache>
                <c:ptCount val="4"/>
                <c:pt idx="0">
                  <c:v>Development</c:v>
                </c:pt>
                <c:pt idx="1">
                  <c:v>Media</c:v>
                </c:pt>
                <c:pt idx="2">
                  <c:v>SME</c:v>
                </c:pt>
                <c:pt idx="3">
                  <c:v>Contingency</c:v>
                </c:pt>
              </c:strCache>
            </c:strRef>
          </c:cat>
          <c:val>
            <c:numRef>
              <c:f>Cost_Breakdown!$G$21:$G$24</c:f>
              <c:numCache>
                <c:formatCode>"£"#,##0.00</c:formatCode>
                <c:ptCount val="4"/>
                <c:pt idx="0">
                  <c:v>3059.2944000000002</c:v>
                </c:pt>
                <c:pt idx="1">
                  <c:v>0</c:v>
                </c:pt>
                <c:pt idx="2">
                  <c:v>1197.98352</c:v>
                </c:pt>
                <c:pt idx="3">
                  <c:v>851.45558400000016</c:v>
                </c:pt>
              </c:numCache>
            </c:numRef>
          </c:val>
          <c:extLst>
            <c:ext xmlns:c16="http://schemas.microsoft.com/office/drawing/2014/chart" uri="{C3380CC4-5D6E-409C-BE32-E72D297353CC}">
              <c16:uniqueId val="{00000000-CA5D-5843-8B60-614DCE2C31BF}"/>
            </c:ext>
          </c:extLst>
        </c:ser>
        <c:dLbls>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Project_Input!A1"/></Relationships>
</file>

<file path=xl/drawings/_rels/drawing2.xml.rels><?xml version="1.0" encoding="UTF-8" standalone="yes"?>
<Relationships xmlns="http://schemas.openxmlformats.org/package/2006/relationships"><Relationship Id="rId1" Type="http://schemas.openxmlformats.org/officeDocument/2006/relationships/hyperlink" Target="#Cost_Breakdown!A1"/></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hyperlink" Target="#Lookup_Tables!A1"/></Relationships>
</file>

<file path=xl/drawings/_rels/drawing5.xml.rels><?xml version="1.0" encoding="UTF-8" standalone="yes"?>
<Relationships xmlns="http://schemas.openxmlformats.org/package/2006/relationships"><Relationship Id="rId1" Type="http://schemas.openxmlformats.org/officeDocument/2006/relationships/hyperlink" Target="#About!A1"/></Relationships>
</file>

<file path=xl/drawings/drawing1.xml><?xml version="1.0" encoding="utf-8"?>
<xdr:wsDr xmlns:xdr="http://schemas.openxmlformats.org/drawingml/2006/spreadsheetDrawing" xmlns:a="http://schemas.openxmlformats.org/drawingml/2006/main">
  <xdr:twoCellAnchor>
    <xdr:from>
      <xdr:col>6</xdr:col>
      <xdr:colOff>10160</xdr:colOff>
      <xdr:row>1</xdr:row>
      <xdr:rowOff>0</xdr:rowOff>
    </xdr:from>
    <xdr:to>
      <xdr:col>7</xdr:col>
      <xdr:colOff>0</xdr:colOff>
      <xdr:row>4</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5076CE7-288D-E941-8A30-F9BB5522CE0C}"/>
            </a:ext>
          </a:extLst>
        </xdr:cNvPr>
        <xdr:cNvSpPr/>
      </xdr:nvSpPr>
      <xdr:spPr>
        <a:xfrm>
          <a:off x="9141460" y="635000"/>
          <a:ext cx="815340" cy="609600"/>
        </a:xfrm>
        <a:prstGeom prst="rect">
          <a:avLst/>
        </a:prstGeom>
        <a:solidFill>
          <a:srgbClr val="005C84"/>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latin typeface="Aptos" panose="020B0004020202020204" pitchFamily="34" charset="0"/>
            </a:rPr>
            <a:t>Next sheet</a:t>
          </a:r>
        </a:p>
        <a:p>
          <a:pPr algn="l"/>
          <a:r>
            <a:rPr lang="en-GB" sz="1100" b="1">
              <a:latin typeface="Aptos" panose="020B0004020202020204" pitchFamily="34" charset="0"/>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10160</xdr:colOff>
      <xdr:row>1</xdr:row>
      <xdr:rowOff>0</xdr:rowOff>
    </xdr:from>
    <xdr:to>
      <xdr:col>7</xdr:col>
      <xdr:colOff>0</xdr:colOff>
      <xdr:row>2</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FC3205D-D8EB-EA55-2E9F-EB09CEDE9D7A}"/>
            </a:ext>
          </a:extLst>
        </xdr:cNvPr>
        <xdr:cNvSpPr/>
      </xdr:nvSpPr>
      <xdr:spPr>
        <a:xfrm>
          <a:off x="11724640" y="640080"/>
          <a:ext cx="955040" cy="558800"/>
        </a:xfrm>
        <a:prstGeom prst="rect">
          <a:avLst/>
        </a:prstGeom>
        <a:solidFill>
          <a:srgbClr val="005C84"/>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latin typeface="Aptos" panose="020B0004020202020204" pitchFamily="34" charset="0"/>
            </a:rPr>
            <a:t>Next sheet</a:t>
          </a:r>
        </a:p>
        <a:p>
          <a:pPr algn="l"/>
          <a:r>
            <a:rPr lang="en-GB" sz="1100" b="1">
              <a:latin typeface="Aptos" panose="020B0004020202020204" pitchFamily="34" charset="0"/>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5080</xdr:colOff>
      <xdr:row>18</xdr:row>
      <xdr:rowOff>10160</xdr:rowOff>
    </xdr:from>
    <xdr:to>
      <xdr:col>3</xdr:col>
      <xdr:colOff>772160</xdr:colOff>
      <xdr:row>25</xdr:row>
      <xdr:rowOff>172720</xdr:rowOff>
    </xdr:to>
    <xdr:graphicFrame macro="">
      <xdr:nvGraphicFramePr>
        <xdr:cNvPr id="3" name="Chart 2">
          <a:extLst>
            <a:ext uri="{FF2B5EF4-FFF2-40B4-BE49-F238E27FC236}">
              <a16:creationId xmlns:a16="http://schemas.microsoft.com/office/drawing/2014/main" id="{32C2C7C7-51DC-CCB5-7B07-290F119E2B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815340</xdr:colOff>
      <xdr:row>4</xdr:row>
      <xdr:rowOff>79513</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EB319CB-9449-8D4A-8CD3-D27133103E94}"/>
            </a:ext>
          </a:extLst>
        </xdr:cNvPr>
        <xdr:cNvSpPr/>
      </xdr:nvSpPr>
      <xdr:spPr>
        <a:xfrm>
          <a:off x="8227391" y="276087"/>
          <a:ext cx="815340" cy="609600"/>
        </a:xfrm>
        <a:prstGeom prst="rect">
          <a:avLst/>
        </a:prstGeom>
        <a:solidFill>
          <a:srgbClr val="005C84"/>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latin typeface="Aptos" panose="020B0004020202020204" pitchFamily="34" charset="0"/>
            </a:rPr>
            <a:t>Next sheet</a:t>
          </a:r>
        </a:p>
        <a:p>
          <a:pPr algn="l"/>
          <a:r>
            <a:rPr lang="en-GB" sz="1100" b="1">
              <a:latin typeface="Aptos" panose="020B0004020202020204" pitchFamily="34" charset="0"/>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108694</xdr:colOff>
      <xdr:row>0</xdr:row>
      <xdr:rowOff>98534</xdr:rowOff>
    </xdr:from>
    <xdr:to>
      <xdr:col>9</xdr:col>
      <xdr:colOff>239986</xdr:colOff>
      <xdr:row>1</xdr:row>
      <xdr:rowOff>79266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8174109-83CA-C442-9ADB-B3A3A5A127B3}"/>
            </a:ext>
          </a:extLst>
        </xdr:cNvPr>
        <xdr:cNvSpPr/>
      </xdr:nvSpPr>
      <xdr:spPr>
        <a:xfrm>
          <a:off x="12972918" y="98534"/>
          <a:ext cx="1094740" cy="550042"/>
        </a:xfrm>
        <a:prstGeom prst="rect">
          <a:avLst/>
        </a:prstGeom>
        <a:solidFill>
          <a:srgbClr val="005C84"/>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latin typeface="Aptos" panose="020B0004020202020204" pitchFamily="34" charset="0"/>
            </a:rPr>
            <a:t>Next sheet</a:t>
          </a:r>
        </a:p>
        <a:p>
          <a:pPr algn="l"/>
          <a:r>
            <a:rPr lang="en-GB" sz="1100" b="1">
              <a:latin typeface="Aptos" panose="020B0004020202020204" pitchFamily="34" charset="0"/>
            </a:rPr>
            <a:t>→</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36D044-D5FE-3F4A-8CCC-B977B89B6495}" name="tbl_Platforms" displayName="tbl_Platforms" ref="A5:H8" totalsRowShown="0" headerRowDxfId="19" dataDxfId="18">
  <autoFilter ref="A5:H8" xr:uid="{3336D044-D5FE-3F4A-8CCC-B977B89B6495}"/>
  <tableColumns count="8">
    <tableColumn id="1" xr3:uid="{A65FCB30-303D-EF4C-B498-6F77A1AF51FD}" name="Platform" dataDxfId="17"/>
    <tableColumn id="2" xr3:uid="{B9DDDE59-3392-CD42-B25D-230CC767F030}" name="Annual hosting cost"/>
    <tableColumn id="3" xr3:uid="{1EDFD8CF-211C-6B4F-9E08-FECF68836441}" name="Target audience" dataDxfId="16"/>
    <tableColumn id="4" xr3:uid="{5B783F73-A012-BA4D-8E94-2CF1DA4C4102}" name="Hours per finished hour" dataDxfId="15"/>
    <tableColumn id="5" xr3:uid="{03F3C72C-6D6F-244E-BFE6-B39EE64FD6AD}" name="Column1" dataDxfId="14"/>
    <tableColumn id="6" xr3:uid="{78D8B97B-6405-DA4C-9820-C24106B34D77}" name="Column2" dataDxfId="13"/>
    <tableColumn id="7" xr3:uid="{A9DF11C9-99A6-B64B-BE5C-2B7CADA1BD84}" name="Column3" dataDxfId="12"/>
    <tableColumn id="8" xr3:uid="{6C6C2850-2757-2B49-9758-0501959AF787}" name="Column4"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CD8627-6021-9247-9FAB-F9F1EA6535FD}" name="tbl_ScenarioHours" displayName="tbl_ScenarioHours" ref="A10:H16" totalsRowShown="0" headerRowDxfId="10" dataDxfId="9">
  <autoFilter ref="A10:H16" xr:uid="{07CD8627-6021-9247-9FAB-F9F1EA6535FD}"/>
  <tableColumns count="8">
    <tableColumn id="1" xr3:uid="{56E2B041-46D8-C04D-8930-C577BFE42C74}" name="Authoring tool" dataDxfId="8"/>
    <tableColumn id="2" xr3:uid="{40C8A98B-8462-2149-9377-3B7F47640FD2}" name="No scenarios" dataDxfId="7"/>
    <tableColumn id="3" xr3:uid="{94ADF18C-DEAD-2041-9A20-127A8BFD365E}" name="Simple (1-2 decisions)" dataDxfId="6"/>
    <tableColumn id="4" xr3:uid="{CA13398C-F524-0C49-BB20-45C605E1FC0E}" name="Moderate (3-4 decisions)" dataDxfId="5"/>
    <tableColumn id="5" xr3:uid="{686EB4F0-3901-B04F-9402-B21692918216}" name="Complex (5-8 decisions)" dataDxfId="4"/>
    <tableColumn id="6" xr3:uid="{63D04ACA-DF70-D14B-A067-E1A1B1563C31}" name="Max complexity" dataDxfId="3"/>
    <tableColumn id="7" xr3:uid="{4D7D2AEE-2143-804D-93B9-59DDF12409CD}" name="Annual licence costs" dataDxfId="2"/>
    <tableColumn id="8" xr3:uid="{BD744373-2203-D24F-89D3-B25E2F949776}" name="Evidence notes" dataDxfId="1"/>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hristytuckerlearning.com/time-estimates-for-e-learning-development/" TargetMode="External"/><Relationship Id="rId7" Type="http://schemas.openxmlformats.org/officeDocument/2006/relationships/drawing" Target="../drawings/drawing1.xml"/><Relationship Id="rId2" Type="http://schemas.openxmlformats.org/officeDocument/2006/relationships/hyperlink" Target="https://www.td.org/content/td-magazine/want-to-speed-up-training-development-time" TargetMode="External"/><Relationship Id="rId1" Type="http://schemas.openxmlformats.org/officeDocument/2006/relationships/hyperlink" Target="https://www.slideshare.net/slideshow/how-long-does-it-take-to-create-learning/5198860" TargetMode="External"/><Relationship Id="rId6" Type="http://schemas.openxmlformats.org/officeDocument/2006/relationships/hyperlink" Target="https://research.com/education/elearning-trends" TargetMode="External"/><Relationship Id="rId5" Type="http://schemas.openxmlformats.org/officeDocument/2006/relationships/hyperlink" Target="https://www.amazon.co.uk/Rapid-Instructional-Design-Essential-Knowledge/dp/0787980730" TargetMode="External"/><Relationship Id="rId4" Type="http://schemas.openxmlformats.org/officeDocument/2006/relationships/hyperlink" Target="https://blog.cathy-moore.com/elearning-example-branching-scenari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southampton.ac.uk/~assets/doc/hr/Levels%201%20to%206%20Pay%20Scales%20-%20With%20On%20Costs%20(overview).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B756A-6001-134C-8F61-A46B07FDD969}">
  <dimension ref="A1:G68"/>
  <sheetViews>
    <sheetView tabSelected="1" topLeftCell="A40" zoomScale="141" workbookViewId="0">
      <selection activeCell="A14" sqref="A14"/>
    </sheetView>
  </sheetViews>
  <sheetFormatPr baseColWidth="10" defaultColWidth="10.83203125" defaultRowHeight="14" x14ac:dyDescent="0.2"/>
  <cols>
    <col min="1" max="1" width="65.6640625" style="3" customWidth="1"/>
    <col min="2" max="16384" width="10.83203125" style="3"/>
  </cols>
  <sheetData>
    <row r="1" spans="1:7" ht="50" customHeight="1" x14ac:dyDescent="0.2">
      <c r="A1" s="1" t="s">
        <v>0</v>
      </c>
      <c r="B1" s="1" t="e" vm="1">
        <v>#VALUE!</v>
      </c>
      <c r="C1" s="2"/>
      <c r="D1" s="2"/>
    </row>
    <row r="2" spans="1:7" ht="17" x14ac:dyDescent="0.2">
      <c r="A2" s="4" t="s">
        <v>1</v>
      </c>
      <c r="B2" s="5"/>
      <c r="G2" s="6"/>
    </row>
    <row r="4" spans="1:7" ht="17" x14ac:dyDescent="0.2">
      <c r="A4" s="4" t="s">
        <v>2</v>
      </c>
      <c r="B4" s="5"/>
    </row>
    <row r="5" spans="1:7" ht="47" customHeight="1" x14ac:dyDescent="0.2">
      <c r="A5" s="76" t="s">
        <v>3</v>
      </c>
      <c r="B5" s="76"/>
    </row>
    <row r="7" spans="1:7" ht="17" x14ac:dyDescent="0.2">
      <c r="A7" s="4" t="s">
        <v>4</v>
      </c>
      <c r="B7" s="5"/>
    </row>
    <row r="8" spans="1:7" ht="29" customHeight="1" x14ac:dyDescent="0.2">
      <c r="A8" s="76" t="s">
        <v>5</v>
      </c>
      <c r="B8" s="76"/>
    </row>
    <row r="9" spans="1:7" ht="27" customHeight="1" x14ac:dyDescent="0.2">
      <c r="A9" s="76" t="s">
        <v>6</v>
      </c>
      <c r="B9" s="76"/>
    </row>
    <row r="11" spans="1:7" ht="17" x14ac:dyDescent="0.2">
      <c r="A11" s="4" t="s">
        <v>7</v>
      </c>
      <c r="B11" s="5"/>
    </row>
    <row r="12" spans="1:7" ht="15" x14ac:dyDescent="0.2">
      <c r="A12" s="3" t="s">
        <v>8</v>
      </c>
    </row>
    <row r="13" spans="1:7" ht="15" x14ac:dyDescent="0.2">
      <c r="A13" s="3" t="s">
        <v>9</v>
      </c>
    </row>
    <row r="14" spans="1:7" ht="15" x14ac:dyDescent="0.2">
      <c r="A14" s="3" t="s">
        <v>661</v>
      </c>
    </row>
    <row r="16" spans="1:7" ht="17" x14ac:dyDescent="0.2">
      <c r="A16" s="4" t="s">
        <v>10</v>
      </c>
      <c r="B16" s="5"/>
    </row>
    <row r="17" spans="1:2" ht="15" x14ac:dyDescent="0.2">
      <c r="A17" s="3" t="s">
        <v>11</v>
      </c>
    </row>
    <row r="18" spans="1:2" ht="15" x14ac:dyDescent="0.2">
      <c r="A18" s="3" t="s">
        <v>12</v>
      </c>
    </row>
    <row r="19" spans="1:2" ht="15" x14ac:dyDescent="0.2">
      <c r="A19" s="3" t="s">
        <v>13</v>
      </c>
    </row>
    <row r="21" spans="1:2" ht="17" x14ac:dyDescent="0.2">
      <c r="A21" s="4" t="s">
        <v>14</v>
      </c>
      <c r="B21" s="5"/>
    </row>
    <row r="22" spans="1:2" ht="15" x14ac:dyDescent="0.2">
      <c r="A22" s="3" t="s">
        <v>15</v>
      </c>
    </row>
    <row r="23" spans="1:2" ht="15" x14ac:dyDescent="0.2">
      <c r="A23" s="3" t="s">
        <v>16</v>
      </c>
    </row>
    <row r="24" spans="1:2" ht="15" x14ac:dyDescent="0.2">
      <c r="A24" s="3" t="s">
        <v>17</v>
      </c>
    </row>
    <row r="25" spans="1:2" ht="15" x14ac:dyDescent="0.2">
      <c r="A25" s="3" t="s">
        <v>18</v>
      </c>
    </row>
    <row r="27" spans="1:2" ht="17" x14ac:dyDescent="0.2">
      <c r="A27" s="4" t="s">
        <v>19</v>
      </c>
      <c r="B27" s="5"/>
    </row>
    <row r="28" spans="1:2" ht="15" x14ac:dyDescent="0.2">
      <c r="A28" s="3" t="s">
        <v>20</v>
      </c>
    </row>
    <row r="29" spans="1:2" ht="15" x14ac:dyDescent="0.2">
      <c r="A29" s="3" t="s">
        <v>21</v>
      </c>
    </row>
    <row r="30" spans="1:2" ht="15" x14ac:dyDescent="0.2">
      <c r="A30" s="3" t="s">
        <v>22</v>
      </c>
    </row>
    <row r="31" spans="1:2" ht="15" x14ac:dyDescent="0.2">
      <c r="A31" s="3" t="s">
        <v>23</v>
      </c>
    </row>
    <row r="33" spans="1:2" ht="17" x14ac:dyDescent="0.2">
      <c r="A33" s="4" t="s">
        <v>24</v>
      </c>
      <c r="B33" s="5"/>
    </row>
    <row r="34" spans="1:2" ht="17" x14ac:dyDescent="0.2">
      <c r="A34" s="4" t="s">
        <v>25</v>
      </c>
      <c r="B34" s="5"/>
    </row>
    <row r="35" spans="1:2" ht="15" x14ac:dyDescent="0.2">
      <c r="A35" s="3" t="s">
        <v>26</v>
      </c>
    </row>
    <row r="36" spans="1:2" ht="15" x14ac:dyDescent="0.2">
      <c r="A36" s="3" t="s">
        <v>27</v>
      </c>
    </row>
    <row r="37" spans="1:2" ht="15" x14ac:dyDescent="0.2">
      <c r="A37" s="3" t="s">
        <v>28</v>
      </c>
    </row>
    <row r="38" spans="1:2" ht="15" x14ac:dyDescent="0.2">
      <c r="A38" s="3" t="s">
        <v>29</v>
      </c>
    </row>
    <row r="39" spans="1:2" ht="15" x14ac:dyDescent="0.2">
      <c r="A39" s="3" t="s">
        <v>30</v>
      </c>
    </row>
    <row r="41" spans="1:2" ht="17" x14ac:dyDescent="0.2">
      <c r="A41" s="4" t="s">
        <v>31</v>
      </c>
      <c r="B41" s="5"/>
    </row>
    <row r="42" spans="1:2" ht="15" x14ac:dyDescent="0.2">
      <c r="A42" s="3" t="s">
        <v>32</v>
      </c>
    </row>
    <row r="43" spans="1:2" ht="15" x14ac:dyDescent="0.2">
      <c r="A43" s="3" t="s">
        <v>33</v>
      </c>
    </row>
    <row r="44" spans="1:2" ht="15" x14ac:dyDescent="0.2">
      <c r="A44" s="3" t="s">
        <v>34</v>
      </c>
    </row>
    <row r="46" spans="1:2" ht="17" x14ac:dyDescent="0.2">
      <c r="A46" s="4" t="s">
        <v>35</v>
      </c>
      <c r="B46" s="5"/>
    </row>
    <row r="47" spans="1:2" ht="17" x14ac:dyDescent="0.2">
      <c r="A47" s="4" t="s">
        <v>36</v>
      </c>
      <c r="B47" s="5"/>
    </row>
    <row r="48" spans="1:2" ht="15" x14ac:dyDescent="0.2">
      <c r="A48" s="3" t="s">
        <v>37</v>
      </c>
    </row>
    <row r="49" spans="1:2" ht="15" x14ac:dyDescent="0.2">
      <c r="A49" s="3" t="s">
        <v>38</v>
      </c>
    </row>
    <row r="50" spans="1:2" ht="15" x14ac:dyDescent="0.2">
      <c r="A50" s="3" t="s">
        <v>39</v>
      </c>
    </row>
    <row r="52" spans="1:2" ht="15" x14ac:dyDescent="0.2">
      <c r="A52" s="3" t="s">
        <v>40</v>
      </c>
    </row>
    <row r="53" spans="1:2" ht="15" x14ac:dyDescent="0.2">
      <c r="A53" s="3" t="s">
        <v>41</v>
      </c>
    </row>
    <row r="55" spans="1:2" ht="17" x14ac:dyDescent="0.2">
      <c r="A55" s="4" t="s">
        <v>42</v>
      </c>
      <c r="B55" s="5"/>
    </row>
    <row r="56" spans="1:2" ht="31" customHeight="1" x14ac:dyDescent="0.2">
      <c r="A56" s="76" t="s">
        <v>43</v>
      </c>
      <c r="B56" s="76"/>
    </row>
    <row r="57" spans="1:2" ht="15" x14ac:dyDescent="0.2">
      <c r="A57" s="3" t="s">
        <v>44</v>
      </c>
    </row>
    <row r="59" spans="1:2" ht="15" x14ac:dyDescent="0.2">
      <c r="A59" s="3" t="s">
        <v>45</v>
      </c>
    </row>
    <row r="60" spans="1:2" ht="15" x14ac:dyDescent="0.2">
      <c r="A60" s="3" t="s">
        <v>46</v>
      </c>
    </row>
    <row r="62" spans="1:2" ht="17" x14ac:dyDescent="0.2">
      <c r="A62" s="4" t="s">
        <v>47</v>
      </c>
      <c r="B62" s="5"/>
    </row>
    <row r="63" spans="1:2" ht="16" customHeight="1" x14ac:dyDescent="0.2">
      <c r="A63" s="75" t="s">
        <v>48</v>
      </c>
      <c r="B63" s="75"/>
    </row>
    <row r="64" spans="1:2" ht="19" customHeight="1" x14ac:dyDescent="0.2">
      <c r="A64" s="75" t="s">
        <v>49</v>
      </c>
      <c r="B64" s="75"/>
    </row>
    <row r="65" spans="1:2" ht="29" customHeight="1" x14ac:dyDescent="0.2">
      <c r="A65" s="75" t="s">
        <v>50</v>
      </c>
      <c r="B65" s="75"/>
    </row>
    <row r="66" spans="1:2" ht="18" customHeight="1" x14ac:dyDescent="0.2">
      <c r="A66" s="75" t="s">
        <v>51</v>
      </c>
      <c r="B66" s="75"/>
    </row>
    <row r="67" spans="1:2" ht="17" customHeight="1" x14ac:dyDescent="0.2">
      <c r="A67" s="75" t="s">
        <v>52</v>
      </c>
      <c r="B67" s="75"/>
    </row>
    <row r="68" spans="1:2" ht="16" customHeight="1" x14ac:dyDescent="0.2">
      <c r="A68" s="75" t="s">
        <v>53</v>
      </c>
      <c r="B68" s="75"/>
    </row>
  </sheetData>
  <mergeCells count="10">
    <mergeCell ref="A66:B66"/>
    <mergeCell ref="A64:B64"/>
    <mergeCell ref="A67:B67"/>
    <mergeCell ref="A68:B68"/>
    <mergeCell ref="A5:B5"/>
    <mergeCell ref="A8:B8"/>
    <mergeCell ref="A9:B9"/>
    <mergeCell ref="A56:B56"/>
    <mergeCell ref="A65:B65"/>
    <mergeCell ref="A63:B63"/>
  </mergeCells>
  <hyperlinks>
    <hyperlink ref="A63:B63" r:id="rId1" display="Chapman, B. (2010). How long does it take to create learning? Chapman Alliance LLC." xr:uid="{08E48D27-5B31-4840-ACCC-9607BB0F043E}"/>
    <hyperlink ref="A64:B64" r:id="rId2" display="Defelice, R. (2023). Want to speed up training development time? TD Magazine, November 2023." xr:uid="{3CCFBC0B-DB91-C140-9E81-6BF21041312E}"/>
    <hyperlink ref="A65:B65" r:id="rId3" display="Tucker, C. (2025). Time estimates for elearning development. Retrieved from christytuckerlearning.com" xr:uid="{C52AA3B1-206A-E346-BC9C-581A04D2BB49}"/>
    <hyperlink ref="A66:B66" r:id="rId4" location="gref" display="Moore, C. (n.d.). Scenario based training example: Connect with Haji Kamal. Training Design." xr:uid="{8B2FB399-DA58-DD40-AE3B-0B22E70E9C1F}"/>
    <hyperlink ref="A67:B67" r:id="rId5" display="Piskurich, G. M. (2015). Rapid instructional design: Learning ID fast and right (3rd ed.). Pfeiffer." xr:uid="{8112683A-040E-D44D-A851-10E1E6A9BF37}"/>
    <hyperlink ref="A68:B68" r:id="rId6" display="Research.com. (2025). eLearning trends: 2025 current data, analysis &amp; insights." xr:uid="{1B731032-02F0-AA49-A9AD-A577FC55C2D8}"/>
  </hyperlinks>
  <pageMargins left="0.39370078740157483" right="0.39370078740157483" top="0.39370078740157483" bottom="0.39370078740157483" header="0.39370078740157483" footer="0.39370078740157483"/>
  <pageSetup paperSize="9" orientation="portrait" horizontalDpi="0" verticalDpi="0"/>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60"/>
  <sheetViews>
    <sheetView topLeftCell="A39" zoomScale="125" zoomScaleNormal="125" workbookViewId="0">
      <selection activeCell="B6" sqref="B6"/>
    </sheetView>
  </sheetViews>
  <sheetFormatPr baseColWidth="10" defaultColWidth="39.1640625" defaultRowHeight="15.75" customHeight="1" x14ac:dyDescent="0.2"/>
  <cols>
    <col min="1" max="2" width="39.1640625" style="6"/>
    <col min="3" max="3" width="22.83203125" style="6" customWidth="1"/>
    <col min="4" max="4" width="71.1640625" style="6" customWidth="1"/>
    <col min="5" max="16384" width="39.1640625" style="6"/>
  </cols>
  <sheetData>
    <row r="1" spans="1:7" ht="50" customHeight="1" x14ac:dyDescent="0.2">
      <c r="A1" s="79" t="s">
        <v>0</v>
      </c>
      <c r="B1" s="79"/>
      <c r="C1" s="79"/>
      <c r="D1" s="26" t="e" vm="1">
        <v>#VALUE!</v>
      </c>
      <c r="G1" s="3"/>
    </row>
    <row r="2" spans="1:7" ht="44" customHeight="1" x14ac:dyDescent="0.2">
      <c r="A2" s="77" t="s">
        <v>54</v>
      </c>
      <c r="B2" s="77"/>
      <c r="C2" s="77"/>
      <c r="D2" s="77"/>
      <c r="E2" s="48"/>
    </row>
    <row r="3" spans="1:7" ht="15.75" customHeight="1" x14ac:dyDescent="0.2">
      <c r="A3" s="7">
        <f ca="1">TODAY()</f>
        <v>45989</v>
      </c>
      <c r="D3" s="6" t="s">
        <v>55</v>
      </c>
    </row>
    <row r="4" spans="1:7" ht="15.75" customHeight="1" x14ac:dyDescent="0.2">
      <c r="A4" s="78" t="s">
        <v>56</v>
      </c>
      <c r="B4" s="78"/>
      <c r="C4" s="78"/>
      <c r="D4" s="78"/>
    </row>
    <row r="5" spans="1:7" ht="15.75" customHeight="1" x14ac:dyDescent="0.2">
      <c r="A5" s="8" t="s">
        <v>57</v>
      </c>
      <c r="B5" s="8"/>
      <c r="C5" s="8"/>
      <c r="D5" s="8"/>
    </row>
    <row r="6" spans="1:7" ht="15.75" customHeight="1" x14ac:dyDescent="0.2">
      <c r="A6" s="11" t="s">
        <v>58</v>
      </c>
      <c r="B6" s="22" t="s">
        <v>662</v>
      </c>
    </row>
    <row r="7" spans="1:7" s="11" customFormat="1" ht="15.75" customHeight="1" x14ac:dyDescent="0.2">
      <c r="A7" s="11" t="s">
        <v>59</v>
      </c>
      <c r="B7" s="11">
        <v>60</v>
      </c>
    </row>
    <row r="8" spans="1:7" s="11" customFormat="1" ht="15.75" customHeight="1" x14ac:dyDescent="0.2">
      <c r="A8" s="11" t="s">
        <v>60</v>
      </c>
      <c r="B8" s="11" t="s">
        <v>659</v>
      </c>
      <c r="D8" s="11" t="s">
        <v>61</v>
      </c>
    </row>
    <row r="9" spans="1:7" s="11" customFormat="1" ht="15.75" customHeight="1" x14ac:dyDescent="0.2">
      <c r="A9" s="11" t="s">
        <v>62</v>
      </c>
      <c r="B9" s="6">
        <v>75</v>
      </c>
    </row>
    <row r="10" spans="1:7" s="11" customFormat="1" ht="15.75" customHeight="1" x14ac:dyDescent="0.2">
      <c r="A10" s="11" t="s">
        <v>63</v>
      </c>
      <c r="B10" s="6">
        <v>25</v>
      </c>
    </row>
    <row r="11" spans="1:7" s="11" customFormat="1" ht="15.75" customHeight="1" x14ac:dyDescent="0.2">
      <c r="A11" s="11" t="s">
        <v>64</v>
      </c>
      <c r="B11" s="11" t="s">
        <v>279</v>
      </c>
      <c r="D11" s="11" t="s">
        <v>65</v>
      </c>
    </row>
    <row r="12" spans="1:7" s="11" customFormat="1" ht="15.75" customHeight="1" x14ac:dyDescent="0.2">
      <c r="A12" s="11" t="s">
        <v>66</v>
      </c>
      <c r="B12" s="11" t="str">
        <f>IF(B11="UoS students","Blackboard Ultra",IF(B11="UoS staff/PGRs","Totara","Course Catalog"))</f>
        <v>Blackboard Ultra</v>
      </c>
    </row>
    <row r="13" spans="1:7" ht="15.75" customHeight="1" x14ac:dyDescent="0.2">
      <c r="A13" s="11" t="s">
        <v>67</v>
      </c>
      <c r="B13" s="6">
        <f>F13</f>
        <v>0</v>
      </c>
      <c r="D13" s="34" t="s">
        <v>68</v>
      </c>
      <c r="E13" s="6" t="s">
        <v>69</v>
      </c>
    </row>
    <row r="14" spans="1:7" ht="15.75" customHeight="1" x14ac:dyDescent="0.2">
      <c r="D14" s="11"/>
    </row>
    <row r="15" spans="1:7" s="35" customFormat="1" ht="15.75" customHeight="1" x14ac:dyDescent="0.2">
      <c r="A15" s="9" t="s">
        <v>70</v>
      </c>
      <c r="B15" s="9"/>
      <c r="C15" s="9"/>
      <c r="D15" s="9"/>
      <c r="E15" s="37"/>
    </row>
    <row r="16" spans="1:7" ht="15.75" customHeight="1" x14ac:dyDescent="0.2">
      <c r="A16" s="6" t="s">
        <v>71</v>
      </c>
      <c r="B16" s="6" t="s">
        <v>288</v>
      </c>
      <c r="D16" s="11" t="s">
        <v>376</v>
      </c>
    </row>
    <row r="17" spans="1:5" ht="15.75" customHeight="1" x14ac:dyDescent="0.2">
      <c r="A17" s="6" t="s">
        <v>73</v>
      </c>
      <c r="B17" s="6" t="str">
        <f>IF(OR(B16="Articulate Rise 360",B16="Articulate Storyline 360"),"⚠️ Requires £700+ annual license","✅ No additional license required")</f>
        <v>✅ No additional license required</v>
      </c>
      <c r="D17" s="11"/>
    </row>
    <row r="18" spans="1:5" ht="15.75" customHeight="1" x14ac:dyDescent="0.2">
      <c r="D18" s="11"/>
    </row>
    <row r="19" spans="1:5" s="35" customFormat="1" ht="15.75" customHeight="1" x14ac:dyDescent="0.2">
      <c r="A19" s="9" t="s">
        <v>74</v>
      </c>
      <c r="B19" s="9"/>
      <c r="C19" s="9"/>
      <c r="D19" s="9"/>
      <c r="E19" s="37"/>
    </row>
    <row r="20" spans="1:5" ht="15.75" customHeight="1" x14ac:dyDescent="0.2">
      <c r="A20" s="6" t="s">
        <v>75</v>
      </c>
      <c r="B20" s="6">
        <v>1</v>
      </c>
    </row>
    <row r="21" spans="1:5" ht="15.75" customHeight="1" x14ac:dyDescent="0.2">
      <c r="A21" s="6" t="s">
        <v>76</v>
      </c>
      <c r="B21" s="6" t="s">
        <v>296</v>
      </c>
      <c r="C21" s="6" t="str">
        <f>IF(AND(Number_Scenarios&gt;0,Scenario_Complexity="No scenarios"),"❌ Error: Scenarios selected but complexity is 'No scenarios'",IF(AND(Number_Scenarios=0,NOT(ISBLANK(Scenario_Complexity)),Scenario_Complexity&lt;&gt;"No scenarios"),"⚠️ No scenarios selected but complexity specified","🟢 Valid - scenarios and complexity selected"))</f>
        <v>🟢 Valid - scenarios and complexity selected</v>
      </c>
      <c r="D21" s="6" t="s">
        <v>78</v>
      </c>
    </row>
    <row r="22" spans="1:5" ht="15.75" customHeight="1" x14ac:dyDescent="0.2">
      <c r="A22" s="6" t="s">
        <v>79</v>
      </c>
      <c r="B22" s="6" t="str">
        <f>IF(B16="Direct platform creation","✅ Simple only",IF(B16="MS Forms","✅ Simple only",IF(B16="MS PowerPoint","✅ Simple only",IF(B16="Articulate Rise 360","✅ Simple or Moderate",IF(OR(B16="ThingLink",B16="Articulate Storyline 360"),"✅ Simple, Moderate, or Complex","")))))</f>
        <v>✅ Simple only</v>
      </c>
    </row>
    <row r="23" spans="1:5" ht="15.75" customHeight="1" x14ac:dyDescent="0.2">
      <c r="B23" s="25"/>
    </row>
    <row r="24" spans="1:5" ht="15.75" customHeight="1" x14ac:dyDescent="0.2">
      <c r="A24" s="9" t="s">
        <v>80</v>
      </c>
      <c r="B24" s="23"/>
      <c r="C24" s="10"/>
      <c r="D24" s="10"/>
    </row>
    <row r="25" spans="1:5" ht="15.75" customHeight="1" x14ac:dyDescent="0.2">
      <c r="A25" s="11" t="s">
        <v>81</v>
      </c>
      <c r="B25" s="21" t="s">
        <v>82</v>
      </c>
      <c r="D25" s="11" t="s">
        <v>83</v>
      </c>
    </row>
    <row r="26" spans="1:5" ht="15.75" customHeight="1" x14ac:dyDescent="0.2">
      <c r="A26" s="11" t="s">
        <v>84</v>
      </c>
      <c r="B26" s="22">
        <v>10</v>
      </c>
    </row>
    <row r="27" spans="1:5" ht="15.75" customHeight="1" x14ac:dyDescent="0.2">
      <c r="A27" s="11" t="s">
        <v>85</v>
      </c>
      <c r="B27" s="22">
        <v>1</v>
      </c>
    </row>
    <row r="28" spans="1:5" ht="15.75" customHeight="1" x14ac:dyDescent="0.2">
      <c r="A28" s="11" t="s">
        <v>86</v>
      </c>
      <c r="B28" s="21" t="s">
        <v>301</v>
      </c>
      <c r="D28" s="11" t="s">
        <v>88</v>
      </c>
    </row>
    <row r="29" spans="1:5" ht="15.75" customHeight="1" x14ac:dyDescent="0.2">
      <c r="A29" s="11" t="s">
        <v>89</v>
      </c>
      <c r="B29" s="21" t="s">
        <v>90</v>
      </c>
      <c r="D29" s="11" t="s">
        <v>91</v>
      </c>
    </row>
    <row r="30" spans="1:5" ht="15.75" customHeight="1" x14ac:dyDescent="0.2">
      <c r="A30" s="11" t="s">
        <v>92</v>
      </c>
      <c r="B30" s="21" t="s">
        <v>101</v>
      </c>
      <c r="D30" s="11" t="s">
        <v>93</v>
      </c>
    </row>
    <row r="31" spans="1:5" ht="15.75" customHeight="1" x14ac:dyDescent="0.2">
      <c r="A31" s="11"/>
      <c r="B31" s="21"/>
      <c r="D31" s="11"/>
    </row>
    <row r="32" spans="1:5" ht="15.75" customHeight="1" x14ac:dyDescent="0.2">
      <c r="A32" s="9" t="s">
        <v>94</v>
      </c>
      <c r="B32" s="23"/>
      <c r="C32" s="10"/>
      <c r="D32" s="10"/>
    </row>
    <row r="33" spans="1:4" ht="15.75" customHeight="1" x14ac:dyDescent="0.2">
      <c r="A33" s="53" t="s">
        <v>95</v>
      </c>
      <c r="B33" s="53"/>
      <c r="C33" s="53"/>
      <c r="D33" s="53"/>
    </row>
    <row r="34" spans="1:4" ht="15.75" customHeight="1" x14ac:dyDescent="0.2">
      <c r="A34" s="53" t="s">
        <v>96</v>
      </c>
      <c r="B34" s="53"/>
      <c r="C34" s="53"/>
      <c r="D34" s="53"/>
    </row>
    <row r="35" spans="1:4" ht="166" customHeight="1" x14ac:dyDescent="0.2">
      <c r="A35" s="80" t="s">
        <v>97</v>
      </c>
      <c r="B35" s="80"/>
      <c r="C35" s="80"/>
      <c r="D35" s="80"/>
    </row>
    <row r="36" spans="1:4" ht="15.75" customHeight="1" x14ac:dyDescent="0.2">
      <c r="A36" s="16" t="s">
        <v>98</v>
      </c>
      <c r="B36" s="6" t="s">
        <v>328</v>
      </c>
    </row>
    <row r="37" spans="1:4" ht="15.75" customHeight="1" x14ac:dyDescent="0.2">
      <c r="A37" s="11" t="s">
        <v>100</v>
      </c>
      <c r="B37" s="22" t="s">
        <v>101</v>
      </c>
    </row>
    <row r="38" spans="1:4" ht="15.75" customHeight="1" x14ac:dyDescent="0.2">
      <c r="A38" s="11" t="s">
        <v>102</v>
      </c>
      <c r="B38" s="21">
        <v>2</v>
      </c>
      <c r="D38" s="11" t="s">
        <v>103</v>
      </c>
    </row>
    <row r="39" spans="1:4" ht="15.75" customHeight="1" x14ac:dyDescent="0.2">
      <c r="A39" s="11" t="s">
        <v>104</v>
      </c>
      <c r="B39" s="21" t="s">
        <v>348</v>
      </c>
      <c r="D39" s="11" t="s">
        <v>106</v>
      </c>
    </row>
    <row r="40" spans="1:4" ht="15.75" customHeight="1" x14ac:dyDescent="0.2">
      <c r="B40" s="24"/>
    </row>
    <row r="41" spans="1:4" ht="15.75" customHeight="1" x14ac:dyDescent="0.2">
      <c r="A41" s="9" t="s">
        <v>107</v>
      </c>
      <c r="B41" s="23"/>
      <c r="C41" s="10"/>
      <c r="D41" s="10"/>
    </row>
    <row r="42" spans="1:4" ht="15.75" customHeight="1" x14ac:dyDescent="0.2">
      <c r="A42" s="11" t="s">
        <v>108</v>
      </c>
      <c r="B42" s="21" t="s">
        <v>109</v>
      </c>
      <c r="D42" s="11" t="s">
        <v>91</v>
      </c>
    </row>
    <row r="43" spans="1:4" ht="15.75" customHeight="1" x14ac:dyDescent="0.2">
      <c r="A43" s="11" t="s">
        <v>110</v>
      </c>
      <c r="B43" s="21" t="s">
        <v>109</v>
      </c>
      <c r="D43" s="11" t="s">
        <v>91</v>
      </c>
    </row>
    <row r="44" spans="1:4" ht="15.75" customHeight="1" x14ac:dyDescent="0.2">
      <c r="A44" s="6" t="s">
        <v>111</v>
      </c>
      <c r="B44" s="6">
        <v>0</v>
      </c>
    </row>
    <row r="45" spans="1:4" ht="15.75" customHeight="1" x14ac:dyDescent="0.2">
      <c r="A45" s="11" t="s">
        <v>112</v>
      </c>
      <c r="B45" s="21" t="s">
        <v>109</v>
      </c>
      <c r="D45" s="11" t="s">
        <v>91</v>
      </c>
    </row>
    <row r="46" spans="1:4" ht="15.75" customHeight="1" x14ac:dyDescent="0.2">
      <c r="A46" s="11" t="s">
        <v>113</v>
      </c>
      <c r="B46" s="21" t="s">
        <v>101</v>
      </c>
      <c r="D46" s="11" t="s">
        <v>115</v>
      </c>
    </row>
    <row r="47" spans="1:4" ht="15.75" customHeight="1" x14ac:dyDescent="0.2">
      <c r="A47" s="11" t="s">
        <v>116</v>
      </c>
      <c r="B47" s="21" t="s">
        <v>101</v>
      </c>
      <c r="D47" s="11" t="s">
        <v>117</v>
      </c>
    </row>
    <row r="49" spans="1:5" s="28" customFormat="1" ht="15.75" customHeight="1" x14ac:dyDescent="0.2">
      <c r="A49" s="9" t="s">
        <v>118</v>
      </c>
      <c r="B49" s="9"/>
      <c r="C49" s="9"/>
      <c r="D49" s="9"/>
      <c r="E49" s="37"/>
    </row>
    <row r="50" spans="1:5" ht="15.75" customHeight="1" x14ac:dyDescent="0.2">
      <c r="A50" s="6" t="s">
        <v>119</v>
      </c>
      <c r="B50" s="27">
        <v>30.79</v>
      </c>
      <c r="D50" s="6" t="s">
        <v>120</v>
      </c>
    </row>
    <row r="51" spans="1:5" ht="15.75" customHeight="1" x14ac:dyDescent="0.2">
      <c r="A51" s="6" t="s">
        <v>121</v>
      </c>
      <c r="B51" s="27">
        <v>40.19</v>
      </c>
      <c r="D51" s="6" t="s">
        <v>122</v>
      </c>
    </row>
    <row r="52" spans="1:5" ht="15.75" customHeight="1" x14ac:dyDescent="0.2">
      <c r="A52" s="6" t="s">
        <v>123</v>
      </c>
    </row>
    <row r="53" spans="1:5" ht="15.75" customHeight="1" x14ac:dyDescent="0.2">
      <c r="A53" s="33" t="s">
        <v>660</v>
      </c>
    </row>
    <row r="55" spans="1:5" ht="15.75" customHeight="1" x14ac:dyDescent="0.2">
      <c r="A55" s="13" t="s">
        <v>124</v>
      </c>
      <c r="B55" s="13"/>
      <c r="C55" s="13"/>
      <c r="D55" s="13"/>
      <c r="E55" s="49"/>
    </row>
    <row r="56" spans="1:5" ht="15.75" customHeight="1" x14ac:dyDescent="0.2">
      <c r="A56" s="6" t="s">
        <v>125</v>
      </c>
      <c r="B56" s="6" t="str">
        <f>IF(OR(B16="Articulate Rise 360",B16="Articulate Storyline 360"),"⚠️ £700+ per year OR pay team for updates","✅ No license costs")</f>
        <v>✅ No license costs</v>
      </c>
    </row>
    <row r="57" spans="1:5" ht="15.75" customHeight="1" x14ac:dyDescent="0.2">
      <c r="A57" s="6" t="s">
        <v>126</v>
      </c>
      <c r="B57" s="6" t="str">
        <f>IF(B12="Course Catalog","⚠️ Annual hosting fees apply","✅ No hosting costs")</f>
        <v>✅ No hosting costs</v>
      </c>
    </row>
    <row r="58" spans="1:5" ht="15.75" customHeight="1" x14ac:dyDescent="0.2">
      <c r="A58" s="6" t="s">
        <v>127</v>
      </c>
      <c r="B58" s="6" t="s">
        <v>128</v>
      </c>
    </row>
    <row r="59" spans="1:5" ht="15.75" customHeight="1" x14ac:dyDescent="0.2">
      <c r="A59" s="6" t="s">
        <v>129</v>
      </c>
      <c r="B59" s="6" t="s">
        <v>130</v>
      </c>
    </row>
    <row r="60" spans="1:5" ht="15.75" customHeight="1" x14ac:dyDescent="0.2">
      <c r="A60" s="6" t="s">
        <v>131</v>
      </c>
    </row>
  </sheetData>
  <mergeCells count="4">
    <mergeCell ref="A2:D2"/>
    <mergeCell ref="A4:D4"/>
    <mergeCell ref="A1:C1"/>
    <mergeCell ref="A35:D35"/>
  </mergeCells>
  <dataValidations count="13">
    <dataValidation type="list" allowBlank="1" showErrorMessage="1" sqref="B30" xr:uid="{00000000-0002-0000-0000-000000000000}">
      <formula1>"None,Basic,Professional"</formula1>
    </dataValidation>
    <dataValidation type="list" allowBlank="1" showErrorMessage="1" sqref="B28" xr:uid="{00000000-0002-0000-0000-000001000000}">
      <formula1>"Minimal,Moderate,Extensive"</formula1>
    </dataValidation>
    <dataValidation type="list" allowBlank="1" showErrorMessage="1" sqref="B25" xr:uid="{00000000-0002-0000-0000-000005000000}">
      <formula1>"Basic MCQ,Comprehensive MCQ,Scenario-based,Adaptive"</formula1>
    </dataValidation>
    <dataValidation type="list" allowBlank="1" showErrorMessage="1" sqref="B42:B43 B29 B45" xr:uid="{00000000-0002-0000-0000-000007000000}">
      <formula1>"Yes,No"</formula1>
    </dataValidation>
    <dataValidation type="list" allowBlank="1" showErrorMessage="1" sqref="B38" xr:uid="{00000000-0002-0000-0000-000009000000}">
      <formula1>"2,3,4,5+"</formula1>
    </dataValidation>
    <dataValidation type="list" allowBlank="1" showErrorMessage="1" sqref="B47" xr:uid="{00000000-0002-0000-0000-00000D000000}">
      <formula1>"None,Basic,Advanced"</formula1>
    </dataValidation>
    <dataValidation type="list" allowBlank="1" showInputMessage="1" showErrorMessage="1" sqref="B39" xr:uid="{DC7A7D78-189D-8344-B98A-215D0E440DE7}">
      <formula1>"Basic,Comprehensive,Expert"</formula1>
    </dataValidation>
    <dataValidation type="list" allowBlank="1" showInputMessage="1" showErrorMessage="1" sqref="B16" xr:uid="{030F638B-220A-9342-9BC5-1ABDFCE3370B}">
      <formula1>"Direct platform creation,MS Forms, MS PowerPoint, Articulate Rise 360, ThingLink, Articulate Storyline 360"</formula1>
    </dataValidation>
    <dataValidation type="list" allowBlank="1" showInputMessage="1" showErrorMessage="1" sqref="B8" xr:uid="{5EDA725B-1AED-F243-9539-03EF8F6C1236}">
      <formula1>"Clinical/healthcare,General academic,Professional development"</formula1>
    </dataValidation>
    <dataValidation type="list" allowBlank="1" showInputMessage="1" showErrorMessage="1" sqref="B11" xr:uid="{0D93C0C8-5196-E646-B89A-0DB2D90845F8}">
      <formula1>"UoS students,UoS staff/PGRs,External professionals"</formula1>
    </dataValidation>
    <dataValidation type="list" allowBlank="1" showErrorMessage="1" sqref="B46" xr:uid="{1D85A53D-BABF-CD4A-96A5-C469E5572994}">
      <formula1>"None,Custom graphics,Professional photography,Both graphics and photography"</formula1>
    </dataValidation>
    <dataValidation type="list" allowBlank="1" showErrorMessage="1" sqref="B31" xr:uid="{00000000-0002-0000-0000-00000C000000}">
      <formula1>"Basic,Realistic,Highly authentic"</formula1>
    </dataValidation>
    <dataValidation type="list" allowBlank="1" showInputMessage="1" showErrorMessage="1" sqref="B36" xr:uid="{3935CA16-97A6-6745-A2AD-963CE1F0B8F9}">
      <formula1>"PSBAR compliance (includes WCAG 2.1 AA),PSBAR + EAA compliance (includes WCAG 2.1 AA)"</formula1>
    </dataValidation>
  </dataValidations>
  <hyperlinks>
    <hyperlink ref="A53" r:id="rId1" display="Link: https://www.southampton.ac.uk/~assets/doc/hr/Levels%201%20to%206%20Pay%20Scales%20-%20With%20On%20Costs%20(overview).pdf" xr:uid="{0EEA697C-470F-FB4A-8C0D-4931813D720A}"/>
  </hyperlinks>
  <pageMargins left="0.7" right="0.7" top="0.75" bottom="0.75" header="0.3" footer="0.3"/>
  <pageSetup paperSize="9" scale="58" orientation="portrait" horizontalDpi="0" verticalDpi="0"/>
  <drawing r:id="rId2"/>
  <extLst>
    <ext xmlns:x14="http://schemas.microsoft.com/office/spreadsheetml/2009/9/main" uri="{78C0D931-6437-407d-A8EE-F0AAD7539E65}">
      <x14:conditionalFormattings>
        <x14:conditionalFormatting xmlns:xm="http://schemas.microsoft.com/office/excel/2006/main">
          <x14:cfRule type="expression" priority="1" id="{AAF702AE-7CE4-574F-85F7-79CE53A4F912}">
            <xm:f>AND(B20&gt;0,Calculations!$B$20="⚠️ ERROR: Invalid tool/complexity combination")</xm:f>
            <x14:dxf>
              <fill>
                <patternFill>
                  <bgColor rgb="FFFFC7CE"/>
                </patternFill>
              </fill>
            </x14:dxf>
          </x14:cfRule>
          <xm:sqref>B21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E776CFA-3C5C-1E47-8CE2-6A1CD3FB7505}">
          <x14:formula1>
            <xm:f>Lookup_Tables!$B$10:$E$10</xm:f>
          </x14:formula1>
          <xm:sqref>B21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14C9C-BCDC-EC43-8FAB-B4B53F34564B}">
  <dimension ref="A1:G92"/>
  <sheetViews>
    <sheetView topLeftCell="A32" zoomScale="125" zoomScaleNormal="125" workbookViewId="0">
      <selection activeCell="B17" sqref="B17"/>
    </sheetView>
  </sheetViews>
  <sheetFormatPr baseColWidth="10" defaultColWidth="10.83203125" defaultRowHeight="14" x14ac:dyDescent="0.2"/>
  <cols>
    <col min="1" max="1" width="25.33203125" style="6" customWidth="1"/>
    <col min="2" max="2" width="18" style="6" customWidth="1"/>
    <col min="3" max="3" width="12.33203125" style="6" bestFit="1" customWidth="1"/>
    <col min="4" max="5" width="10.83203125" style="6"/>
    <col min="6" max="6" width="10.5" style="6" customWidth="1"/>
    <col min="7" max="16384" width="10.83203125" style="6"/>
  </cols>
  <sheetData>
    <row r="1" spans="1:4" ht="92" customHeight="1" x14ac:dyDescent="0.2">
      <c r="A1" s="79" t="s">
        <v>0</v>
      </c>
      <c r="B1" s="79"/>
      <c r="C1" s="79"/>
      <c r="D1" s="17" t="e" vm="1">
        <v>#VALUE!</v>
      </c>
    </row>
    <row r="2" spans="1:4" ht="30" customHeight="1" x14ac:dyDescent="0.2">
      <c r="A2" s="81" t="s">
        <v>132</v>
      </c>
      <c r="B2" s="81"/>
      <c r="C2" s="81"/>
      <c r="D2" s="81"/>
    </row>
    <row r="4" spans="1:4" x14ac:dyDescent="0.2">
      <c r="A4" s="13" t="s">
        <v>133</v>
      </c>
      <c r="B4" s="12"/>
      <c r="C4" s="12"/>
      <c r="D4" s="12"/>
    </row>
    <row r="5" spans="1:4" x14ac:dyDescent="0.2">
      <c r="A5" s="6" t="s">
        <v>58</v>
      </c>
      <c r="B5" s="6" t="str">
        <f>Project_Name</f>
        <v>Test project</v>
      </c>
    </row>
    <row r="6" spans="1:4" x14ac:dyDescent="0.2">
      <c r="A6" s="6" t="s">
        <v>134</v>
      </c>
      <c r="B6" s="6" t="str">
        <f>Platform</f>
        <v>Blackboard Ultra</v>
      </c>
    </row>
    <row r="7" spans="1:4" x14ac:dyDescent="0.2">
      <c r="A7" s="6" t="s">
        <v>71</v>
      </c>
      <c r="B7" s="6" t="str">
        <f>Authoring_Tool</f>
        <v>MS Forms</v>
      </c>
    </row>
    <row r="8" spans="1:4" x14ac:dyDescent="0.2">
      <c r="A8" s="6" t="s">
        <v>135</v>
      </c>
      <c r="B8" s="6" t="str">
        <f>IF(Number_Scenarios=0,"Basic (no scenarios)",Scenario_Complexity)</f>
        <v>Simple (1-2 decisions)</v>
      </c>
    </row>
    <row r="9" spans="1:4" x14ac:dyDescent="0.2">
      <c r="A9" s="6" t="s">
        <v>136</v>
      </c>
      <c r="B9" s="6" t="str">
        <f>Project_Duration&amp;" minutes"</f>
        <v>60 minutes</v>
      </c>
    </row>
    <row r="10" spans="1:4" x14ac:dyDescent="0.2">
      <c r="A10" s="6" t="s">
        <v>60</v>
      </c>
      <c r="B10" s="6" t="str">
        <f>Content_Type</f>
        <v>General academic</v>
      </c>
    </row>
    <row r="11" spans="1:4" x14ac:dyDescent="0.2">
      <c r="A11" s="6" t="s">
        <v>98</v>
      </c>
      <c r="B11" s="6" t="str">
        <f>Compliance_Level</f>
        <v>PSBAR + EAA compliance (includes WCAG 2.1 AA)</v>
      </c>
    </row>
    <row r="13" spans="1:4" x14ac:dyDescent="0.2">
      <c r="A13" s="13" t="s">
        <v>137</v>
      </c>
      <c r="B13" s="13" t="str">
        <f>TEXT(Total_Project_Cost,"£#,##0.00")</f>
        <v>£5,108.73</v>
      </c>
      <c r="C13" s="13"/>
      <c r="D13" s="13"/>
    </row>
    <row r="14" spans="1:4" x14ac:dyDescent="0.2">
      <c r="A14" s="38" t="s">
        <v>138</v>
      </c>
    </row>
    <row r="15" spans="1:4" x14ac:dyDescent="0.2">
      <c r="A15" s="39" t="s">
        <v>139</v>
      </c>
      <c r="B15" s="39" t="str">
        <f>TEXT(Total_Project_Cost/(Project_Duration/60),"£#,##0.00")</f>
        <v>£5,108.73</v>
      </c>
      <c r="C15" s="39"/>
      <c r="D15" s="39"/>
    </row>
    <row r="17" spans="1:7" x14ac:dyDescent="0.2">
      <c r="A17" s="6" t="s">
        <v>140</v>
      </c>
      <c r="B17" s="6" t="str">
        <f>ROUND(Total_Dev_Hours/35,1)&amp;" weeks"</f>
        <v>2.8 weeks</v>
      </c>
    </row>
    <row r="18" spans="1:7" x14ac:dyDescent="0.2">
      <c r="A18" s="6" t="s">
        <v>141</v>
      </c>
      <c r="B18" s="6" t="str">
        <f>ROUND(SME_Cost_Total/SME_Rate,0)&amp;" hours"</f>
        <v>30 hours</v>
      </c>
    </row>
    <row r="20" spans="1:7" x14ac:dyDescent="0.2">
      <c r="A20" s="6" t="s">
        <v>142</v>
      </c>
      <c r="F20" s="14" t="s">
        <v>143</v>
      </c>
      <c r="G20" s="14" t="s">
        <v>144</v>
      </c>
    </row>
    <row r="21" spans="1:7" x14ac:dyDescent="0.2">
      <c r="F21" s="11" t="s">
        <v>145</v>
      </c>
      <c r="G21" s="56">
        <f>Development_Subtotal</f>
        <v>3059.2944000000002</v>
      </c>
    </row>
    <row r="22" spans="1:7" x14ac:dyDescent="0.2">
      <c r="F22" s="11" t="s">
        <v>146</v>
      </c>
      <c r="G22" s="56">
        <f>Media_Subtotal</f>
        <v>0</v>
      </c>
    </row>
    <row r="23" spans="1:7" x14ac:dyDescent="0.2">
      <c r="F23" s="11" t="s">
        <v>147</v>
      </c>
      <c r="G23" s="56">
        <f>SME_Cost_Total</f>
        <v>1197.98352</v>
      </c>
    </row>
    <row r="24" spans="1:7" x14ac:dyDescent="0.2">
      <c r="F24" s="11" t="s">
        <v>148</v>
      </c>
      <c r="G24" s="56">
        <f>Contingency</f>
        <v>851.45558400000016</v>
      </c>
    </row>
    <row r="28" spans="1:7" x14ac:dyDescent="0.2">
      <c r="A28" s="40" t="s">
        <v>149</v>
      </c>
      <c r="B28" s="40"/>
      <c r="C28" s="40"/>
      <c r="D28" s="40"/>
    </row>
    <row r="30" spans="1:7" x14ac:dyDescent="0.2">
      <c r="A30" s="13" t="s">
        <v>150</v>
      </c>
      <c r="B30" s="50"/>
      <c r="C30" s="12"/>
      <c r="D30" s="12"/>
    </row>
    <row r="31" spans="1:7" x14ac:dyDescent="0.2">
      <c r="A31" s="6" t="s">
        <v>151</v>
      </c>
      <c r="B31" s="27">
        <f>Calculations!B31</f>
        <v>1231.5999999999999</v>
      </c>
      <c r="C31" s="42">
        <f t="shared" ref="C31:C37" si="0">B31/Total_Project_Cost</f>
        <v>0.24107736272320532</v>
      </c>
    </row>
    <row r="32" spans="1:7" x14ac:dyDescent="0.2">
      <c r="A32" s="6" t="s">
        <v>152</v>
      </c>
      <c r="B32" s="27">
        <f>Calculations!B32</f>
        <v>215.53</v>
      </c>
      <c r="C32" s="42">
        <f t="shared" si="0"/>
        <v>4.2188538476560934E-2</v>
      </c>
    </row>
    <row r="33" spans="1:4" x14ac:dyDescent="0.2">
      <c r="A33" s="6" t="s">
        <v>153</v>
      </c>
      <c r="B33" s="27">
        <f>Calculations!B33</f>
        <v>400.27</v>
      </c>
      <c r="C33" s="42">
        <f t="shared" si="0"/>
        <v>7.8350142885041732E-2</v>
      </c>
    </row>
    <row r="34" spans="1:4" x14ac:dyDescent="0.2">
      <c r="A34" s="6" t="s">
        <v>154</v>
      </c>
      <c r="B34" s="27">
        <f>Calculations!B34</f>
        <v>369.48</v>
      </c>
      <c r="C34" s="42">
        <f t="shared" si="0"/>
        <v>7.2323208816961609E-2</v>
      </c>
    </row>
    <row r="35" spans="1:4" x14ac:dyDescent="0.2">
      <c r="A35" s="6" t="s">
        <v>155</v>
      </c>
      <c r="B35" s="27">
        <f>Calculations!B35</f>
        <v>0</v>
      </c>
      <c r="C35" s="42">
        <f t="shared" si="0"/>
        <v>0</v>
      </c>
    </row>
    <row r="36" spans="1:4" x14ac:dyDescent="0.2">
      <c r="A36" s="6" t="s">
        <v>156</v>
      </c>
      <c r="B36" s="27">
        <f>Calculations!B36</f>
        <v>842.4144</v>
      </c>
      <c r="C36" s="42">
        <f t="shared" si="0"/>
        <v>0.16489691610267246</v>
      </c>
    </row>
    <row r="37" spans="1:4" x14ac:dyDescent="0.2">
      <c r="A37" s="39" t="s">
        <v>157</v>
      </c>
      <c r="B37" s="43">
        <f>Development_Subtotal</f>
        <v>3059.2944000000002</v>
      </c>
      <c r="C37" s="44">
        <f t="shared" si="0"/>
        <v>0.59883616900444214</v>
      </c>
      <c r="D37" s="39"/>
    </row>
    <row r="39" spans="1:4" x14ac:dyDescent="0.2">
      <c r="A39" s="13" t="s">
        <v>107</v>
      </c>
      <c r="B39" s="12"/>
      <c r="C39" s="12"/>
      <c r="D39" s="12"/>
    </row>
    <row r="40" spans="1:4" x14ac:dyDescent="0.2">
      <c r="A40" s="6" t="s">
        <v>158</v>
      </c>
      <c r="B40" s="27">
        <f>Calculations!B42</f>
        <v>0</v>
      </c>
      <c r="C40" s="42">
        <f t="shared" ref="C40:C45" si="1">B40/Total_Project_Cost</f>
        <v>0</v>
      </c>
    </row>
    <row r="41" spans="1:4" x14ac:dyDescent="0.2">
      <c r="A41" s="6" t="s">
        <v>114</v>
      </c>
      <c r="B41" s="27">
        <f>Calculations!B44</f>
        <v>0</v>
      </c>
      <c r="C41" s="42">
        <f t="shared" si="1"/>
        <v>0</v>
      </c>
    </row>
    <row r="42" spans="1:4" x14ac:dyDescent="0.2">
      <c r="A42" s="6" t="s">
        <v>159</v>
      </c>
      <c r="B42" s="27">
        <f>Calculations!B46</f>
        <v>0</v>
      </c>
      <c r="C42" s="42">
        <f t="shared" si="1"/>
        <v>0</v>
      </c>
    </row>
    <row r="43" spans="1:4" x14ac:dyDescent="0.2">
      <c r="A43" s="6" t="s">
        <v>160</v>
      </c>
      <c r="B43" s="27">
        <f>Calculations!B48</f>
        <v>0</v>
      </c>
      <c r="C43" s="42">
        <f t="shared" si="1"/>
        <v>0</v>
      </c>
    </row>
    <row r="44" spans="1:4" x14ac:dyDescent="0.2">
      <c r="A44" s="6" t="s">
        <v>161</v>
      </c>
      <c r="B44" s="27">
        <f>Calculations!B50</f>
        <v>0</v>
      </c>
      <c r="C44" s="42">
        <f t="shared" si="1"/>
        <v>0</v>
      </c>
    </row>
    <row r="45" spans="1:4" x14ac:dyDescent="0.2">
      <c r="A45" s="39" t="s">
        <v>162</v>
      </c>
      <c r="B45" s="43">
        <f>Media_Subtotal</f>
        <v>0</v>
      </c>
      <c r="C45" s="44">
        <f t="shared" si="1"/>
        <v>0</v>
      </c>
      <c r="D45" s="39"/>
    </row>
    <row r="47" spans="1:4" x14ac:dyDescent="0.2">
      <c r="A47" s="13" t="s">
        <v>163</v>
      </c>
      <c r="B47" s="12"/>
      <c r="C47" s="51"/>
      <c r="D47" s="12"/>
    </row>
    <row r="48" spans="1:4" x14ac:dyDescent="0.2">
      <c r="A48" s="6" t="s">
        <v>164</v>
      </c>
      <c r="B48" s="27" cm="1">
        <f t="array" ref="B48">SME_Cost_Total</f>
        <v>1197.98352</v>
      </c>
      <c r="C48" s="42">
        <f>B48/Total_Project_Cost</f>
        <v>0.23449716432889114</v>
      </c>
    </row>
    <row r="49" spans="1:4" x14ac:dyDescent="0.2">
      <c r="C49" s="42"/>
    </row>
    <row r="50" spans="1:4" x14ac:dyDescent="0.2">
      <c r="A50" s="13" t="s">
        <v>165</v>
      </c>
      <c r="B50" s="12"/>
      <c r="C50" s="51"/>
      <c r="D50" s="12"/>
    </row>
    <row r="51" spans="1:4" x14ac:dyDescent="0.2">
      <c r="A51" s="6" t="s">
        <v>166</v>
      </c>
      <c r="B51" s="27" cm="1">
        <f t="array" ref="B51">Project_Subtotal</f>
        <v>4257.2779200000004</v>
      </c>
      <c r="C51" s="42">
        <f>B51/Total_Project_Cost</f>
        <v>0.83333333333333326</v>
      </c>
    </row>
    <row r="52" spans="1:4" x14ac:dyDescent="0.2">
      <c r="A52" s="6" t="s">
        <v>167</v>
      </c>
      <c r="B52" s="27" cm="1">
        <f t="array" ref="B52">Contingency</f>
        <v>851.45558400000016</v>
      </c>
      <c r="C52" s="42">
        <f>B52/Total_Project_Cost</f>
        <v>0.16666666666666669</v>
      </c>
    </row>
    <row r="53" spans="1:4" x14ac:dyDescent="0.2">
      <c r="B53" s="27"/>
      <c r="C53" s="42"/>
    </row>
    <row r="54" spans="1:4" x14ac:dyDescent="0.2">
      <c r="A54" s="39" t="s">
        <v>168</v>
      </c>
      <c r="B54" s="43">
        <f>Total_Project_Cost</f>
        <v>5108.7335040000007</v>
      </c>
      <c r="C54" s="44">
        <f>1</f>
        <v>1</v>
      </c>
      <c r="D54" s="39"/>
    </row>
    <row r="56" spans="1:4" x14ac:dyDescent="0.2">
      <c r="A56" s="13" t="s">
        <v>169</v>
      </c>
      <c r="B56" s="13"/>
      <c r="C56" s="13"/>
      <c r="D56" s="13"/>
    </row>
    <row r="58" spans="1:4" ht="29" customHeight="1" x14ac:dyDescent="0.2">
      <c r="A58" s="76" t="s">
        <v>170</v>
      </c>
      <c r="B58" s="76"/>
      <c r="C58" s="76"/>
      <c r="D58" s="76"/>
    </row>
    <row r="59" spans="1:4" x14ac:dyDescent="0.2">
      <c r="A59" s="6" t="s">
        <v>171</v>
      </c>
      <c r="B59" s="6" t="str">
        <f>TEXT((SME_Cost_Total/SME_Rate)*0.5,"0")&amp;" hours"</f>
        <v>15 hours</v>
      </c>
    </row>
    <row r="60" spans="1:4" x14ac:dyDescent="0.2">
      <c r="A60" s="6" t="s">
        <v>172</v>
      </c>
      <c r="B60" s="6" t="str">
        <f>TEXT((SME_Cost_Total/SME_Rate)*0.3,"0")&amp;" hours"</f>
        <v>9 hours</v>
      </c>
    </row>
    <row r="61" spans="1:4" x14ac:dyDescent="0.2">
      <c r="A61" s="6" t="s">
        <v>173</v>
      </c>
      <c r="B61" s="6" t="str">
        <f>TEXT((SME_Cost_Total/SME_Rate)*0.2,"0")&amp;" hours"</f>
        <v>6 hours</v>
      </c>
    </row>
    <row r="63" spans="1:4" x14ac:dyDescent="0.2">
      <c r="A63" s="41" t="s">
        <v>174</v>
      </c>
      <c r="B63" s="6" t="str">
        <f>TEXT(SME_Cost_Total/SME_Rate,"0")&amp;" hours"</f>
        <v>30 hours</v>
      </c>
    </row>
    <row r="64" spans="1:4" x14ac:dyDescent="0.2">
      <c r="A64" s="41" t="s">
        <v>175</v>
      </c>
      <c r="B64" s="27" t="str" cm="1">
        <f t="array" ref="B64">TEXT(SME_Cost_Total,"£#,##0.00")</f>
        <v>£1,197.98</v>
      </c>
    </row>
    <row r="66" spans="1:4" x14ac:dyDescent="0.2">
      <c r="A66" s="13" t="s">
        <v>124</v>
      </c>
      <c r="B66" s="12"/>
      <c r="C66" s="12"/>
      <c r="D66" s="12"/>
    </row>
    <row r="68" spans="1:4" x14ac:dyDescent="0.2">
      <c r="A68" s="6" t="s">
        <v>176</v>
      </c>
      <c r="B68" s="27">
        <f>Calculations!B74</f>
        <v>0</v>
      </c>
    </row>
    <row r="69" spans="1:4" x14ac:dyDescent="0.2">
      <c r="A69" s="6" t="s">
        <v>177</v>
      </c>
      <c r="B69" s="60" t="str">
        <f>Calculations!B75</f>
        <v>£0.00</v>
      </c>
    </row>
    <row r="71" spans="1:4" x14ac:dyDescent="0.2">
      <c r="A71" s="38" t="s">
        <v>178</v>
      </c>
    </row>
    <row r="72" spans="1:4" x14ac:dyDescent="0.2">
      <c r="A72" s="38" t="s">
        <v>179</v>
      </c>
    </row>
    <row r="75" spans="1:4" x14ac:dyDescent="0.2">
      <c r="A75" s="13" t="s">
        <v>180</v>
      </c>
      <c r="B75" s="12"/>
      <c r="C75" s="12"/>
      <c r="D75" s="12"/>
    </row>
    <row r="76" spans="1:4" x14ac:dyDescent="0.2">
      <c r="A76" s="6" t="s">
        <v>181</v>
      </c>
    </row>
    <row r="77" spans="1:4" x14ac:dyDescent="0.2">
      <c r="A77" s="6" t="s">
        <v>182</v>
      </c>
    </row>
    <row r="78" spans="1:4" x14ac:dyDescent="0.2">
      <c r="A78" s="6" t="s">
        <v>182</v>
      </c>
    </row>
    <row r="79" spans="1:4" x14ac:dyDescent="0.2">
      <c r="A79" s="6" t="s">
        <v>183</v>
      </c>
    </row>
    <row r="80" spans="1:4" x14ac:dyDescent="0.2">
      <c r="A80" s="6" t="s">
        <v>184</v>
      </c>
    </row>
    <row r="81" spans="1:4" x14ac:dyDescent="0.2">
      <c r="A81" s="6" t="s">
        <v>185</v>
      </c>
    </row>
    <row r="83" spans="1:4" x14ac:dyDescent="0.2">
      <c r="A83" s="13" t="s">
        <v>186</v>
      </c>
      <c r="B83" s="12"/>
      <c r="C83" s="12"/>
      <c r="D83" s="12"/>
    </row>
    <row r="84" spans="1:4" x14ac:dyDescent="0.2">
      <c r="A84" s="11" t="s">
        <v>187</v>
      </c>
      <c r="B84" s="11"/>
      <c r="C84" s="14"/>
      <c r="D84" s="14"/>
    </row>
    <row r="85" spans="1:4" x14ac:dyDescent="0.2">
      <c r="A85" s="11" t="s">
        <v>188</v>
      </c>
      <c r="B85" s="11"/>
      <c r="C85" s="14"/>
      <c r="D85" s="14"/>
    </row>
    <row r="86" spans="1:4" x14ac:dyDescent="0.2">
      <c r="A86" s="6" t="s">
        <v>189</v>
      </c>
    </row>
    <row r="87" spans="1:4" x14ac:dyDescent="0.2">
      <c r="A87" s="6" t="s">
        <v>190</v>
      </c>
    </row>
    <row r="88" spans="1:4" x14ac:dyDescent="0.2">
      <c r="A88" s="6" t="s">
        <v>191</v>
      </c>
    </row>
    <row r="89" spans="1:4" x14ac:dyDescent="0.2">
      <c r="A89" s="6" t="s">
        <v>192</v>
      </c>
    </row>
    <row r="90" spans="1:4" x14ac:dyDescent="0.2">
      <c r="A90" s="6" t="s">
        <v>193</v>
      </c>
    </row>
    <row r="91" spans="1:4" ht="9" customHeight="1" x14ac:dyDescent="0.2">
      <c r="A91" s="55"/>
    </row>
    <row r="92" spans="1:4" ht="49" customHeight="1" x14ac:dyDescent="0.2">
      <c r="A92" s="80" t="s">
        <v>194</v>
      </c>
      <c r="B92" s="80"/>
      <c r="C92" s="80"/>
      <c r="D92" s="80"/>
    </row>
  </sheetData>
  <mergeCells count="4">
    <mergeCell ref="A1:C1"/>
    <mergeCell ref="A2:D2"/>
    <mergeCell ref="A92:D92"/>
    <mergeCell ref="A58:D58"/>
  </mergeCells>
  <pageMargins left="0.7" right="0.7" top="0.75" bottom="0.75" header="0.3" footer="0.3"/>
  <pageSetup paperSize="9" scale="83" orientation="portrait" horizontalDpi="0" verticalDpi="0"/>
  <rowBreaks count="1" manualBreakCount="1">
    <brk id="55" max="6"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N44"/>
  <sheetViews>
    <sheetView zoomScale="161" workbookViewId="0">
      <selection activeCell="A17" sqref="A17:D17"/>
    </sheetView>
  </sheetViews>
  <sheetFormatPr baseColWidth="10" defaultColWidth="12.6640625" defaultRowHeight="15.75" customHeight="1" x14ac:dyDescent="0.2"/>
  <cols>
    <col min="1" max="1" width="49" style="6" customWidth="1"/>
    <col min="2" max="2" width="20" style="6" customWidth="1"/>
    <col min="3" max="3" width="6.5" style="6" bestFit="1" customWidth="1"/>
    <col min="4" max="4" width="5.6640625" style="6" bestFit="1" customWidth="1"/>
    <col min="5" max="7" width="12.6640625" style="6"/>
    <col min="8" max="8" width="50.6640625" style="6" customWidth="1"/>
    <col min="9" max="16384" width="12.6640625" style="6"/>
  </cols>
  <sheetData>
    <row r="1" spans="1:7" ht="50" customHeight="1" x14ac:dyDescent="0.2">
      <c r="A1" s="79" t="s">
        <v>0</v>
      </c>
      <c r="B1" s="79"/>
      <c r="C1" s="79"/>
      <c r="D1" s="1" t="e" vm="1">
        <v>#VALUE!</v>
      </c>
      <c r="G1" s="3"/>
    </row>
    <row r="2" spans="1:7" ht="126" customHeight="1" x14ac:dyDescent="0.2">
      <c r="A2" s="84" t="s">
        <v>195</v>
      </c>
      <c r="B2" s="84"/>
      <c r="C2" s="84"/>
      <c r="D2" s="84"/>
    </row>
    <row r="3" spans="1:7" ht="15.75" customHeight="1" x14ac:dyDescent="0.2">
      <c r="A3" s="6" t="str">
        <f>Project_Input!B6</f>
        <v>Test project</v>
      </c>
    </row>
    <row r="5" spans="1:7" ht="16" x14ac:dyDescent="0.2">
      <c r="A5" s="9" t="s">
        <v>196</v>
      </c>
      <c r="B5" s="12"/>
      <c r="C5" s="12"/>
      <c r="D5" s="12"/>
    </row>
    <row r="6" spans="1:7" ht="14" x14ac:dyDescent="0.2">
      <c r="A6" s="11" t="s">
        <v>197</v>
      </c>
      <c r="B6" s="11" t="str">
        <f>IF(B24&gt;=4,"🔴 HIGH RISK",IF(B24&gt;=2,"🟡 MEDIUM RISK","🟢 LOW RISK"))</f>
        <v>🟢 LOW RISK</v>
      </c>
    </row>
    <row r="7" spans="1:7" ht="14" x14ac:dyDescent="0.2"/>
    <row r="8" spans="1:7" ht="14" x14ac:dyDescent="0.2">
      <c r="A8" s="52" t="s">
        <v>198</v>
      </c>
      <c r="B8" s="52" t="s">
        <v>199</v>
      </c>
      <c r="C8" s="52" t="s">
        <v>200</v>
      </c>
      <c r="D8" s="52" t="s">
        <v>201</v>
      </c>
    </row>
    <row r="9" spans="1:7" ht="14" x14ac:dyDescent="0.2">
      <c r="A9" s="11" t="s">
        <v>202</v>
      </c>
      <c r="B9" s="11" t="str">
        <f>IF(Number_Scenarios&gt;5,"Yes","No")</f>
        <v>No</v>
      </c>
      <c r="C9" s="11">
        <v>2</v>
      </c>
      <c r="D9" s="11">
        <f t="shared" ref="D9:D14" si="0">IF(B9="Yes",1,0)</f>
        <v>0</v>
      </c>
    </row>
    <row r="10" spans="1:7" ht="14" x14ac:dyDescent="0.2">
      <c r="A10" s="11" t="s">
        <v>203</v>
      </c>
      <c r="B10" s="11" t="str">
        <f>IF(New_Content_Percent&gt;80,"Yes","No")</f>
        <v>No</v>
      </c>
      <c r="C10" s="11">
        <v>1</v>
      </c>
      <c r="D10" s="11">
        <f t="shared" si="0"/>
        <v>0</v>
      </c>
    </row>
    <row r="11" spans="1:7" ht="14" x14ac:dyDescent="0.2">
      <c r="A11" s="11" t="s">
        <v>204</v>
      </c>
      <c r="B11" s="11" t="str">
        <f>IF(Scenario_Complexity="Complex (5-8 decisions)","Yes","No")</f>
        <v>No</v>
      </c>
      <c r="C11" s="11">
        <v>1</v>
      </c>
      <c r="D11" s="11">
        <f t="shared" si="0"/>
        <v>0</v>
      </c>
    </row>
    <row r="12" spans="1:7" ht="14" x14ac:dyDescent="0.2">
      <c r="A12" s="11" t="s">
        <v>205</v>
      </c>
      <c r="B12" s="11" t="str">
        <f>IF(Content_Type="Clinical/healthcare","Yes","No")</f>
        <v>No</v>
      </c>
      <c r="C12" s="11">
        <v>1</v>
      </c>
      <c r="D12" s="11">
        <f t="shared" si="0"/>
        <v>0</v>
      </c>
    </row>
    <row r="13" spans="1:7" ht="14" x14ac:dyDescent="0.2">
      <c r="A13" s="11" t="s">
        <v>206</v>
      </c>
      <c r="B13" s="11" t="str">
        <f>IF(Video_Scenarios_Required="Yes","Yes","No")</f>
        <v>No</v>
      </c>
      <c r="C13" s="11">
        <v>1</v>
      </c>
      <c r="D13" s="11">
        <f t="shared" si="0"/>
        <v>0</v>
      </c>
    </row>
    <row r="14" spans="1:7" ht="14" x14ac:dyDescent="0.2">
      <c r="A14" s="11" t="s">
        <v>207</v>
      </c>
      <c r="B14" s="11" t="str">
        <f>IF(OR(Assessment_Type="Scenario-based",Assessment_Type="Adaptive questioning"),"Yes","No")</f>
        <v>No</v>
      </c>
      <c r="C14" s="11">
        <v>1</v>
      </c>
      <c r="D14" s="11">
        <f t="shared" si="0"/>
        <v>0</v>
      </c>
    </row>
    <row r="15" spans="1:7" ht="14" x14ac:dyDescent="0.2"/>
    <row r="16" spans="1:7" ht="16" x14ac:dyDescent="0.2">
      <c r="A16" s="9" t="s">
        <v>208</v>
      </c>
      <c r="B16" s="12"/>
      <c r="C16" s="12"/>
      <c r="D16" s="12"/>
    </row>
    <row r="17" spans="1:4" ht="14" x14ac:dyDescent="0.2">
      <c r="A17" s="82" t="str">
        <f>IF(B24&gt;=4,"HIGH RISK: Consider phased approach, extended timeline, additional SME support","")</f>
        <v/>
      </c>
      <c r="B17" s="82"/>
      <c r="C17" s="82"/>
      <c r="D17" s="82"/>
    </row>
    <row r="18" spans="1:4" ht="14" x14ac:dyDescent="0.2">
      <c r="A18" s="11" t="str">
        <f>IF(AND(B24&gt;=2,B24&lt;=3),"MEDIUM RISK: Plan for additional review cycles, build in extra contingency","")</f>
        <v/>
      </c>
    </row>
    <row r="19" spans="1:4" ht="14" x14ac:dyDescent="0.2">
      <c r="A19" s="11" t="str">
        <f>IF(B24&lt;=1,"LOW RISK: Standard project management approach suitable","")</f>
        <v>LOW RISK: Standard project management approach suitable</v>
      </c>
    </row>
    <row r="20" spans="1:4" ht="14" x14ac:dyDescent="0.2"/>
    <row r="21" spans="1:4" ht="16" x14ac:dyDescent="0.2">
      <c r="A21" s="9" t="s">
        <v>209</v>
      </c>
      <c r="B21" s="12"/>
      <c r="C21" s="12"/>
      <c r="D21" s="12"/>
    </row>
    <row r="22" spans="1:4" ht="14" x14ac:dyDescent="0.2">
      <c r="A22" s="11" t="str">
        <f>IF(B9="Yes","• Reduce scenario count or simplify complexity","")</f>
        <v/>
      </c>
    </row>
    <row r="23" spans="1:4" ht="14" x14ac:dyDescent="0.2">
      <c r="A23" s="11" t="str">
        <f>IF(B10="Yes","• Seek existing content to adapt","")</f>
        <v/>
      </c>
    </row>
    <row r="24" spans="1:4" ht="14" x14ac:dyDescent="0.2">
      <c r="A24" s="11" t="s">
        <v>210</v>
      </c>
      <c r="B24" s="11">
        <f>SUM(D9:D14)</f>
        <v>0</v>
      </c>
    </row>
    <row r="25" spans="1:4" ht="14" x14ac:dyDescent="0.2"/>
    <row r="26" spans="1:4" ht="16" x14ac:dyDescent="0.2">
      <c r="A26" s="9" t="s">
        <v>211</v>
      </c>
      <c r="B26" s="12"/>
      <c r="C26" s="12"/>
      <c r="D26" s="12"/>
    </row>
    <row r="27" spans="1:4" ht="14" x14ac:dyDescent="0.2">
      <c r="A27" s="52" t="s">
        <v>212</v>
      </c>
      <c r="B27" s="53"/>
      <c r="C27" s="53"/>
      <c r="D27" s="53"/>
    </row>
    <row r="28" spans="1:4" ht="14" x14ac:dyDescent="0.2">
      <c r="A28" s="11" t="s">
        <v>213</v>
      </c>
      <c r="B28" s="6" t="str">
        <f>Project_Input!B12</f>
        <v>Blackboard Ultra</v>
      </c>
    </row>
    <row r="29" spans="1:4" ht="15.75" customHeight="1" x14ac:dyDescent="0.2">
      <c r="A29" s="6" t="s">
        <v>214</v>
      </c>
      <c r="B29" s="6" t="str">
        <f>Project_Input!B16</f>
        <v>MS Forms</v>
      </c>
    </row>
    <row r="30" spans="1:4" ht="35" customHeight="1" x14ac:dyDescent="0.2">
      <c r="A30" s="30" t="s">
        <v>215</v>
      </c>
      <c r="B30" s="83" t="str">
        <f>IF(Project_Input!B12="Blackboard Ultra","✓ Suitable for UoS students - free hosting",IF(Project_Input!B12="Totara","✓ Suitable for UoS staff/PGRs - free hosting","✓ Course Catalog for external professionals - hosting fees apply"))</f>
        <v>✓ Suitable for UoS students - free hosting</v>
      </c>
      <c r="C30" s="83"/>
      <c r="D30" s="83"/>
    </row>
    <row r="31" spans="1:4" ht="30" customHeight="1" x14ac:dyDescent="0.2">
      <c r="A31" s="30" t="s">
        <v>216</v>
      </c>
      <c r="B31" s="83" t="str">
        <f>IF(Project_Input!B16="Direct platform creation","✓ No additional costs - built into platform",IF(OR(Project_Input!B16="Articulate Rise 360",Project_Input!B16="Articulate Storyline 360"),"⚠️ Requires £700+ annual license","✓ No additional license costs"))</f>
        <v>✓ No additional license costs</v>
      </c>
      <c r="C31" s="83"/>
      <c r="D31" s="83"/>
    </row>
    <row r="32" spans="1:4" ht="32" customHeight="1" x14ac:dyDescent="0.2">
      <c r="A32" s="32" t="s">
        <v>217</v>
      </c>
      <c r="B32" s="76" t="str">
        <f>IF(AND(Project_Input!B20&gt;0,Project_Input!B16="Direct platform creation"),"⚠️ Consider upgrading to Articulate Rise 360 or Storyline for better scenario support",IF(AND(Project_Input!B20=0,OR(Project_Input!B16="Articulate Rise 360",Project_Input!B16="Articulate Storyline 360")),"💡 Direct platform creation may be sufficient without scenarios - could reduce costs","✅ Platform and tool well-matched for project requirements"))</f>
        <v>✅ Platform and tool well-matched for project requirements</v>
      </c>
      <c r="C32" s="76"/>
      <c r="D32" s="76"/>
    </row>
    <row r="33" spans="1:14" ht="14" x14ac:dyDescent="0.2"/>
    <row r="34" spans="1:14" ht="14" x14ac:dyDescent="0.2">
      <c r="A34" s="11"/>
    </row>
    <row r="35" spans="1:14" ht="14" x14ac:dyDescent="0.2"/>
    <row r="36" spans="1:14" ht="14" x14ac:dyDescent="0.2"/>
    <row r="37" spans="1:14" ht="14" x14ac:dyDescent="0.2">
      <c r="A37" s="11"/>
    </row>
    <row r="38" spans="1:14" ht="9" customHeight="1" x14ac:dyDescent="0.2">
      <c r="A38" s="83"/>
      <c r="B38" s="83"/>
      <c r="C38" s="83"/>
      <c r="D38" s="83"/>
    </row>
    <row r="41" spans="1:14" ht="15.75" customHeight="1" x14ac:dyDescent="0.2">
      <c r="L41" s="16"/>
    </row>
    <row r="44" spans="1:14" ht="11" customHeight="1" x14ac:dyDescent="0.2">
      <c r="M44" s="16"/>
      <c r="N44" s="16"/>
    </row>
  </sheetData>
  <mergeCells count="7">
    <mergeCell ref="A1:C1"/>
    <mergeCell ref="A17:D17"/>
    <mergeCell ref="A38:D38"/>
    <mergeCell ref="A2:D2"/>
    <mergeCell ref="B30:D30"/>
    <mergeCell ref="B32:D32"/>
    <mergeCell ref="B31:D31"/>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603B9-3DF0-5C4B-AA74-16DEED364986}">
  <dimension ref="A1:C108"/>
  <sheetViews>
    <sheetView zoomScale="115" workbookViewId="0">
      <selection activeCell="H14" sqref="H14"/>
    </sheetView>
  </sheetViews>
  <sheetFormatPr baseColWidth="10" defaultColWidth="10.83203125" defaultRowHeight="14" x14ac:dyDescent="0.2"/>
  <cols>
    <col min="1" max="1" width="38.33203125" style="6" customWidth="1"/>
    <col min="2" max="2" width="36.6640625" style="6" customWidth="1"/>
    <col min="3" max="3" width="37.83203125" style="6" customWidth="1"/>
    <col min="4" max="16384" width="10.83203125" style="6"/>
  </cols>
  <sheetData>
    <row r="1" spans="1:3" ht="22" x14ac:dyDescent="0.2">
      <c r="A1" s="85" t="s">
        <v>0</v>
      </c>
      <c r="B1" s="85"/>
      <c r="C1" s="17" t="e" vm="1">
        <v>#VALUE!</v>
      </c>
    </row>
    <row r="2" spans="1:3" x14ac:dyDescent="0.2">
      <c r="A2" s="47" t="s">
        <v>218</v>
      </c>
      <c r="B2" s="45"/>
      <c r="C2" s="46"/>
    </row>
    <row r="3" spans="1:3" x14ac:dyDescent="0.2">
      <c r="A3" s="13" t="s">
        <v>219</v>
      </c>
      <c r="B3" s="13"/>
      <c r="C3" s="13"/>
    </row>
    <row r="5" spans="1:3" x14ac:dyDescent="0.2">
      <c r="A5" s="6" t="s">
        <v>58</v>
      </c>
      <c r="B5" s="6" t="str" cm="1">
        <f t="array" ref="B5">Project_Name</f>
        <v>Test project</v>
      </c>
      <c r="C5" s="6" t="str" cm="1">
        <f t="array" ref="C5">IF(ISBLANK(Project_Name),"🔴 Missing data","🟢 High confidence")</f>
        <v>🟢 High confidence</v>
      </c>
    </row>
    <row r="6" spans="1:3" x14ac:dyDescent="0.2">
      <c r="A6" s="6" t="s">
        <v>220</v>
      </c>
      <c r="B6" s="6" cm="1">
        <f t="array" ref="B6">Project_Duration</f>
        <v>60</v>
      </c>
      <c r="C6" s="6" t="str" cm="1">
        <f t="array" ref="C6">IF(ISBLANK(Project_Duration),"🔴 Missing data","🟢 High confidence")</f>
        <v>🟢 High confidence</v>
      </c>
    </row>
    <row r="7" spans="1:3" x14ac:dyDescent="0.2">
      <c r="A7" s="6" t="s">
        <v>60</v>
      </c>
      <c r="B7" s="6" t="str" cm="1">
        <f t="array" ref="B7">Content_Type</f>
        <v>General academic</v>
      </c>
      <c r="C7" s="6" t="str" cm="1">
        <f t="array" ref="C7">IF(ISBLANK(Content_Type),"🔴 Missing data","🟢 High confidence")</f>
        <v>🟢 High confidence</v>
      </c>
    </row>
    <row r="8" spans="1:3" x14ac:dyDescent="0.2">
      <c r="A8" s="6" t="s">
        <v>134</v>
      </c>
      <c r="B8" s="6" t="str" cm="1">
        <f t="array" ref="B8">Platform</f>
        <v>Blackboard Ultra</v>
      </c>
      <c r="C8" s="6" t="str" cm="1">
        <f t="array" ref="C8">IF(ISBLANK(Platform),"🔴 Missing data","🟢 High confidence")</f>
        <v>🟢 High confidence</v>
      </c>
    </row>
    <row r="9" spans="1:3" x14ac:dyDescent="0.2">
      <c r="A9" s="6" t="s">
        <v>71</v>
      </c>
      <c r="B9" s="6" t="str" cm="1">
        <f t="array" ref="B9">Authoring_Tool</f>
        <v>MS Forms</v>
      </c>
      <c r="C9" s="6" t="str" cm="1">
        <f t="array" ref="C9">IF(ISBLANK(Authoring_Tool),"🔴 Missing data","🟢 High confidence")</f>
        <v>🟢 High confidence</v>
      </c>
    </row>
    <row r="10" spans="1:3" x14ac:dyDescent="0.2">
      <c r="A10" s="6" t="s">
        <v>221</v>
      </c>
      <c r="B10" s="6" cm="1">
        <f t="array" ref="B10">Number_Scenarios</f>
        <v>1</v>
      </c>
      <c r="C10" s="6" t="str" cm="1">
        <f t="array" ref="C10">IF(ISBLANK(Number_Scenarios),"🔴 Missing data","🟢 High confidence")</f>
        <v>🟢 High confidence</v>
      </c>
    </row>
    <row r="11" spans="1:3" x14ac:dyDescent="0.2">
      <c r="A11" s="6" t="s">
        <v>222</v>
      </c>
      <c r="B11" s="6" t="str" cm="1">
        <f t="array" ref="B11">Scenario_Complexity</f>
        <v>Simple (1-2 decisions)</v>
      </c>
      <c r="C11" s="6" t="str" cm="1">
        <f t="array" ref="C11">IF(ISBLANK(Scenario_Complexity),"🔴 Missing data","🟢 High confidence")</f>
        <v>🟢 High confidence</v>
      </c>
    </row>
    <row r="12" spans="1:3" x14ac:dyDescent="0.2">
      <c r="A12" s="6" t="s">
        <v>223</v>
      </c>
      <c r="B12" s="6" cm="1">
        <f t="array" ref="B12">New_Content_Percent</f>
        <v>75</v>
      </c>
      <c r="C12" s="6" t="str" cm="1">
        <f t="array" ref="C12">IF(ISBLANK(New_Content_Percent),"🔴 Missing data","🟢 High confidence")</f>
        <v>🟢 High confidence</v>
      </c>
    </row>
    <row r="13" spans="1:3" x14ac:dyDescent="0.2">
      <c r="A13" s="6" t="s">
        <v>224</v>
      </c>
      <c r="B13" s="6" cm="1">
        <f t="array" ref="B13">Existing_Content_Percent</f>
        <v>25</v>
      </c>
      <c r="C13" s="6" t="str" cm="1">
        <f t="array" ref="C13">IF(ISBLANK(Existing_Content_Percent),"🔴 Missing data","🟢 High confidence")</f>
        <v>🟢 High confidence</v>
      </c>
    </row>
    <row r="14" spans="1:3" x14ac:dyDescent="0.2">
      <c r="A14" s="6" t="s">
        <v>225</v>
      </c>
      <c r="B14" s="6" t="str">
        <f>Compliance_Level</f>
        <v>PSBAR + EAA compliance (includes WCAG 2.1 AA)</v>
      </c>
      <c r="C14" s="6" t="str">
        <f>IF(ISBLANK(Compliance_Level),"🔴 Missing data","🟢 High confidence")</f>
        <v>🟢 High confidence</v>
      </c>
    </row>
    <row r="16" spans="1:3" x14ac:dyDescent="0.2">
      <c r="A16" s="13" t="s">
        <v>226</v>
      </c>
      <c r="B16" s="13"/>
      <c r="C16" s="13"/>
    </row>
    <row r="18" spans="1:3" x14ac:dyDescent="0.2">
      <c r="A18" s="6" t="s">
        <v>227</v>
      </c>
      <c r="B18" s="6">
        <f>(Project_Duration/60)*VLOOKUP(Platform,tbl_Platforms[],4,FALSE)</f>
        <v>40</v>
      </c>
      <c r="C18" s="6" t="str">
        <f>IF(ISBLANK(B18),"🔴 Low confidence","🟢 High confidence")</f>
        <v>🟢 High confidence</v>
      </c>
    </row>
    <row r="19" spans="1:3" x14ac:dyDescent="0.2">
      <c r="A19" s="6" t="s">
        <v>228</v>
      </c>
      <c r="B19" s="6">
        <f>IF(Number_Scenarios=0,0,IFERROR(INDEX(tbl_ScenarioHours[],MATCH(Authoring_Tool,tbl_ScenarioHours[Authoring tool],0),MATCH(Scenario_Complexity,tbl_ScenarioHours[#Headers],0)),0))</f>
        <v>7</v>
      </c>
      <c r="C19" s="6" t="str">
        <f>IF(ISBLANK(B19),"🔴 No data","🟡 Medium confidence")</f>
        <v>🟡 Medium confidence</v>
      </c>
    </row>
    <row r="20" spans="1:3" x14ac:dyDescent="0.2">
      <c r="A20" s="6" t="s">
        <v>386</v>
      </c>
      <c r="B20" s="6" t="str">
        <f>IF(Number_Scenarios=0,"N/A - no scenarios",IF(AND(B19=0,Number_Scenarios&gt;0),"⚠️ ERROR: Invalid tool/complexity combination","✅ Valid lookup"))</f>
        <v>✅ Valid lookup</v>
      </c>
      <c r="C20" s="6" t="str">
        <f>IF(ISNA(B19),"Check that selected authoring tool supports selected complexity level","")</f>
        <v/>
      </c>
    </row>
    <row r="21" spans="1:3" x14ac:dyDescent="0.2">
      <c r="A21" s="6" t="s">
        <v>229</v>
      </c>
      <c r="B21" s="6">
        <f>Number_Scenarios*B19</f>
        <v>7</v>
      </c>
      <c r="C21" s="6" t="str">
        <f>IF(ISBLANK(B21),"🔴 Low confidence","🟢 High confidence")</f>
        <v>🟢 High confidence</v>
      </c>
    </row>
    <row r="22" spans="1:3" x14ac:dyDescent="0.2">
      <c r="A22" s="6" t="s">
        <v>230</v>
      </c>
      <c r="B22" s="6">
        <f>(Assessment_Questions*VLOOKUP(Assessment_Type,Lookup_Tables!A25:C30,2,FALSE))+IF(Assessment_Type="Basic MCQ",8,15)</f>
        <v>13</v>
      </c>
      <c r="C22" s="6" t="str">
        <f>IF(ISBLANK(B22),"🔴 Low confidence","🟢 High confidence")</f>
        <v>🟢 High confidence</v>
      </c>
    </row>
    <row r="23" spans="1:3" x14ac:dyDescent="0.2">
      <c r="A23" s="6" t="s">
        <v>231</v>
      </c>
      <c r="B23" s="6" cm="1">
        <f t="array" ref="B23">Reflection_Activities*12</f>
        <v>12</v>
      </c>
      <c r="C23" s="6" t="str">
        <f>IF(ISBLANK(B23),"🔴 Low confidence","🟢 High confidence")</f>
        <v>🟢 High confidence</v>
      </c>
    </row>
    <row r="24" spans="1:3" x14ac:dyDescent="0.2">
      <c r="A24" s="6" t="s">
        <v>232</v>
      </c>
      <c r="B24" s="6" cm="1">
        <f t="array" ref="B24">IF(Certificate_Type="None",0,IF(Certificate_Type="Basic",6,15))</f>
        <v>0</v>
      </c>
      <c r="C24" s="6" t="str">
        <f>IF(ISBLANK(B24),"🔴 Low confidence","🟢 High confidence")</f>
        <v>🟢 High confidence</v>
      </c>
    </row>
    <row r="25" spans="1:3" x14ac:dyDescent="0.2">
      <c r="A25" s="6" t="s">
        <v>233</v>
      </c>
      <c r="B25" s="6">
        <f>(B18+B21+B22+B23+B24)*(IFERROR(VLOOKUP(Compliance_Level,Lookup_Tables!$A$32:$B$33,2,FALSE),0.35)+IFERROR(VLOOKUP(Accessibility_Testing_Level,Lookup_Tables!$A$46:$B$48,2,FALSE),0))</f>
        <v>27.36</v>
      </c>
      <c r="C25" s="6" t="str">
        <f>IF(ISBLANK(B25),"🔴 Low confidence","🟡 Medium confidence")</f>
        <v>🟡 Medium confidence</v>
      </c>
    </row>
    <row r="27" spans="1:3" x14ac:dyDescent="0.2">
      <c r="A27" s="6" t="s">
        <v>234</v>
      </c>
      <c r="B27" s="6">
        <f>B18+B21+B22+B23+B24+B25</f>
        <v>99.36</v>
      </c>
      <c r="C27" s="6" t="str">
        <f>IF(B27&gt;0,"🟢 High confidence","🔴 Error in calculation")</f>
        <v>🟢 High confidence</v>
      </c>
    </row>
    <row r="29" spans="1:3" x14ac:dyDescent="0.2">
      <c r="A29" s="13" t="s">
        <v>150</v>
      </c>
      <c r="B29" s="13"/>
      <c r="C29" s="13"/>
    </row>
    <row r="31" spans="1:3" x14ac:dyDescent="0.2">
      <c r="A31" s="6" t="s">
        <v>235</v>
      </c>
      <c r="B31" s="27">
        <f>B18*LD_Rate</f>
        <v>1231.5999999999999</v>
      </c>
      <c r="C31" s="6" t="str">
        <f>IF(ISBLANK(B31),"🔴 Low confidence","🟢 High confidence")</f>
        <v>🟢 High confidence</v>
      </c>
    </row>
    <row r="32" spans="1:3" x14ac:dyDescent="0.2">
      <c r="A32" s="6" t="s">
        <v>236</v>
      </c>
      <c r="B32" s="27">
        <f>B21*LD_Rate</f>
        <v>215.53</v>
      </c>
      <c r="C32" s="6" t="str">
        <f>IF(ISBLANK(B32),"🔴 Low confidence","🟢 High confidence")</f>
        <v>🟢 High confidence</v>
      </c>
    </row>
    <row r="33" spans="1:3" x14ac:dyDescent="0.2">
      <c r="A33" s="6" t="s">
        <v>237</v>
      </c>
      <c r="B33" s="27">
        <f>B22*LD_Rate</f>
        <v>400.27</v>
      </c>
      <c r="C33" s="6" t="str">
        <f>IF(ISBLANK(B33),"🔴 Low confidence","🟢 High confidence")</f>
        <v>🟢 High confidence</v>
      </c>
    </row>
    <row r="34" spans="1:3" x14ac:dyDescent="0.2">
      <c r="A34" s="6" t="s">
        <v>238</v>
      </c>
      <c r="B34" s="27">
        <f>B23*LD_Rate</f>
        <v>369.48</v>
      </c>
      <c r="C34" s="6" t="str">
        <f>IF(ISBLANK(B34),"🔴 Low confidence","🟢 High confidence")</f>
        <v>🟢 High confidence</v>
      </c>
    </row>
    <row r="35" spans="1:3" x14ac:dyDescent="0.2">
      <c r="A35" s="6" t="s">
        <v>239</v>
      </c>
      <c r="B35" s="27">
        <f>B24*LD_Rate</f>
        <v>0</v>
      </c>
      <c r="C35" s="6" t="str">
        <f>IF(ISBLANK(B35),"🔴 Low confidence","🟢 High confidence")</f>
        <v>🟢 High confidence</v>
      </c>
    </row>
    <row r="36" spans="1:3" x14ac:dyDescent="0.2">
      <c r="A36" s="6" t="s">
        <v>240</v>
      </c>
      <c r="B36" s="27">
        <f>B25*LD_Rate</f>
        <v>842.4144</v>
      </c>
      <c r="C36" s="6" t="str">
        <f>IF(ISBLANK(B36),"🔴 Low confidence","🟡 Medium confidence")</f>
        <v>🟡 Medium confidence</v>
      </c>
    </row>
    <row r="37" spans="1:3" x14ac:dyDescent="0.2">
      <c r="B37" s="27"/>
    </row>
    <row r="38" spans="1:3" x14ac:dyDescent="0.2">
      <c r="A38" s="6" t="s">
        <v>241</v>
      </c>
      <c r="B38" s="27">
        <f>SUM(B31:B36)</f>
        <v>3059.2944000000002</v>
      </c>
      <c r="C38" s="6" t="str">
        <f>IF(B38&gt;0,"🟢 High confidence","🔴 Error in calculation")</f>
        <v>🟢 High confidence</v>
      </c>
    </row>
    <row r="40" spans="1:3" x14ac:dyDescent="0.2">
      <c r="A40" s="13" t="s">
        <v>107</v>
      </c>
      <c r="B40" s="13"/>
      <c r="C40" s="13"/>
    </row>
    <row r="42" spans="1:3" x14ac:dyDescent="0.2">
      <c r="A42" s="6" t="s">
        <v>242</v>
      </c>
      <c r="B42" s="27">
        <f>IF(Video_Scenarios_Required="Yes",Number_Scenarios*1050,0)</f>
        <v>0</v>
      </c>
      <c r="C42" s="6" t="str">
        <f>IF(ISBLANK(B42),"🔴 Low confidence","🟢 High confidence")</f>
        <v>🟢 High confidence</v>
      </c>
    </row>
    <row r="43" spans="1:3" x14ac:dyDescent="0.2">
      <c r="B43" s="27"/>
    </row>
    <row r="44" spans="1:3" x14ac:dyDescent="0.2">
      <c r="A44" s="6" t="s">
        <v>243</v>
      </c>
      <c r="B44" s="27">
        <f>IF(OR(Visual_Media_Type="Custom graphics",Visual_Media_Type="Both graphics and photography"),500,0)</f>
        <v>0</v>
      </c>
      <c r="C44" s="6" t="str">
        <f>IF(ISBLANK(B44),"🔴 Low confidence","🟢 High confidence")</f>
        <v>🟢 High confidence</v>
      </c>
    </row>
    <row r="45" spans="1:3" x14ac:dyDescent="0.2">
      <c r="B45" s="27"/>
    </row>
    <row r="46" spans="1:3" x14ac:dyDescent="0.2">
      <c r="A46" s="6" t="s">
        <v>244</v>
      </c>
      <c r="B46" s="27">
        <f>IF(Audio_Required="Yes",300,0)</f>
        <v>0</v>
      </c>
      <c r="C46" s="6" t="str">
        <f>IF(ISBLANK(B46),"🔴 Low confidence","🟢 High confidence")</f>
        <v>🟢 High confidence</v>
      </c>
    </row>
    <row r="47" spans="1:3" x14ac:dyDescent="0.2">
      <c r="B47" s="27"/>
    </row>
    <row r="48" spans="1:3" x14ac:dyDescent="0.2">
      <c r="A48" s="6" t="s">
        <v>245</v>
      </c>
      <c r="B48" s="27">
        <f>IF(Animation_Type="Basic",300,IF(Animation_Type="Advanced",800,0))</f>
        <v>0</v>
      </c>
      <c r="C48" s="6" t="str">
        <f>IF(ISBLANK(B48),"🔴 Low confidence","🟢 High confidence")</f>
        <v>🟢 High confidence</v>
      </c>
    </row>
    <row r="49" spans="1:3" x14ac:dyDescent="0.2">
      <c r="B49" s="27"/>
    </row>
    <row r="50" spans="1:3" x14ac:dyDescent="0.2">
      <c r="A50" s="6" t="s">
        <v>246</v>
      </c>
      <c r="B50" s="27">
        <f>IF(OR(Visual_Media_Type="Professional photography",Visual_Media_Type="Both graphics and photography"),200,0)</f>
        <v>0</v>
      </c>
      <c r="C50" s="6" t="str">
        <f>IF(ISBLANK(B50),"🔴 Low confidence","🟢 High confidence")</f>
        <v>🟢 High confidence</v>
      </c>
    </row>
    <row r="51" spans="1:3" x14ac:dyDescent="0.2">
      <c r="B51" s="27"/>
    </row>
    <row r="52" spans="1:3" x14ac:dyDescent="0.2">
      <c r="A52" s="6" t="s">
        <v>247</v>
      </c>
      <c r="B52" s="27">
        <f>SUM(B42:B50)</f>
        <v>0</v>
      </c>
      <c r="C52" s="6" t="str">
        <f>IF(B52&gt;=0,"🟢 High confidence","🔴 Error in calculation")</f>
        <v>🟢 High confidence</v>
      </c>
    </row>
    <row r="54" spans="1:3" x14ac:dyDescent="0.2">
      <c r="A54" s="13" t="s">
        <v>248</v>
      </c>
      <c r="B54" s="13"/>
      <c r="C54" s="13"/>
    </row>
    <row r="56" spans="1:3" x14ac:dyDescent="0.2">
      <c r="A56" s="6" t="s">
        <v>249</v>
      </c>
    </row>
    <row r="57" spans="1:3" x14ac:dyDescent="0.2">
      <c r="A57" s="6" t="s">
        <v>250</v>
      </c>
      <c r="B57" s="36">
        <f>IF(Content_Type="Clinical/healthcare",0.35,0.3)</f>
        <v>0.3</v>
      </c>
      <c r="C57" s="6" t="str">
        <f>IF(ISBLANK(B57),"🔴 Low confidence","🟡 Medium confidence")</f>
        <v>🟡 Medium confidence</v>
      </c>
    </row>
    <row r="58" spans="1:3" x14ac:dyDescent="0.2">
      <c r="A58" s="6" t="s">
        <v>251</v>
      </c>
      <c r="B58" s="6">
        <f>B27*B57</f>
        <v>29.808</v>
      </c>
      <c r="C58" s="6" t="str">
        <f>IF(ISBLANK(B58),"🔴 Low confidence","🟢 High confidence")</f>
        <v>🟢 High confidence</v>
      </c>
    </row>
    <row r="59" spans="1:3" x14ac:dyDescent="0.2">
      <c r="A59" s="6" t="s">
        <v>252</v>
      </c>
      <c r="B59" s="27">
        <f>SME_Rate</f>
        <v>40.19</v>
      </c>
      <c r="C59" s="6" t="str">
        <f>IF(ISBLANK(B59),"🔴 Missing data","🟢 High confidence")</f>
        <v>🟢 High confidence</v>
      </c>
    </row>
    <row r="61" spans="1:3" x14ac:dyDescent="0.2">
      <c r="A61" s="6" t="s">
        <v>175</v>
      </c>
      <c r="B61" s="27">
        <f>B58*B59</f>
        <v>1197.98352</v>
      </c>
      <c r="C61" s="6" t="str">
        <f>IF(B61&gt;0,"🟢 High confidence","🔴 Error in calculation")</f>
        <v>🟢 High confidence</v>
      </c>
    </row>
    <row r="63" spans="1:3" x14ac:dyDescent="0.2">
      <c r="A63" s="13" t="s">
        <v>165</v>
      </c>
      <c r="B63" s="13"/>
      <c r="C63" s="13"/>
    </row>
    <row r="65" spans="1:3" x14ac:dyDescent="0.2">
      <c r="A65" s="6" t="s">
        <v>241</v>
      </c>
      <c r="B65" s="27">
        <f>B38</f>
        <v>3059.2944000000002</v>
      </c>
      <c r="C65" s="6" t="str">
        <f>IF(ISBLANK(B65),"🔴 Error","🟢 High confidence")</f>
        <v>🟢 High confidence</v>
      </c>
    </row>
    <row r="66" spans="1:3" x14ac:dyDescent="0.2">
      <c r="A66" s="6" t="s">
        <v>247</v>
      </c>
      <c r="B66" s="27">
        <f>B52</f>
        <v>0</v>
      </c>
      <c r="C66" s="6" t="str">
        <f>IF(ISBLANK(B66),"🔴 Error","🟢 High confidence")</f>
        <v>🟢 High confidence</v>
      </c>
    </row>
    <row r="67" spans="1:3" x14ac:dyDescent="0.2">
      <c r="A67" s="6" t="s">
        <v>253</v>
      </c>
      <c r="B67" s="27">
        <f>B61</f>
        <v>1197.98352</v>
      </c>
      <c r="C67" s="6" t="str">
        <f>IF(ISBLANK(B67),"🔴 Error","🟢 High confidence")</f>
        <v>🟢 High confidence</v>
      </c>
    </row>
    <row r="69" spans="1:3" x14ac:dyDescent="0.2">
      <c r="A69" s="6" t="s">
        <v>254</v>
      </c>
      <c r="B69" s="27">
        <f>B65+B66+B67</f>
        <v>4257.2779200000004</v>
      </c>
      <c r="C69" s="6" t="str">
        <f>IF(B69&gt;0,"🟢 High confidence","🔴 Error in calculation")</f>
        <v>🟢 High confidence</v>
      </c>
    </row>
    <row r="70" spans="1:3" x14ac:dyDescent="0.2">
      <c r="A70" s="6" t="s">
        <v>255</v>
      </c>
      <c r="B70" s="27">
        <f>B69*0.2</f>
        <v>851.45558400000016</v>
      </c>
      <c r="C70" s="6" t="str">
        <f>IF(ISBLANK(B70),"🔴 Error","🟢 High confidence")</f>
        <v>🟢 High confidence</v>
      </c>
    </row>
    <row r="72" spans="1:3" x14ac:dyDescent="0.2">
      <c r="A72" s="6" t="s">
        <v>137</v>
      </c>
      <c r="B72" s="27">
        <f>B69+B70</f>
        <v>5108.7335040000007</v>
      </c>
      <c r="C72" s="6" t="str">
        <f>IF(B72&gt;0,"🟢 High confidence","🔴 Error in calculation")</f>
        <v>🟢 High confidence</v>
      </c>
    </row>
    <row r="74" spans="1:3" x14ac:dyDescent="0.2">
      <c r="A74" s="6" t="s">
        <v>256</v>
      </c>
      <c r="B74" s="27">
        <f>IF(Platform="Course Catalog",Platform_Hosting_Cost,0)</f>
        <v>0</v>
      </c>
      <c r="C74" s="6" t="str">
        <f>IF(ISBLANK(B74),"🔴 Error","🟢 High confidence")</f>
        <v>🟢 High confidence</v>
      </c>
    </row>
    <row r="75" spans="1:3" x14ac:dyDescent="0.2">
      <c r="A75" s="6" t="s">
        <v>257</v>
      </c>
      <c r="B75" s="60" t="str">
        <f>IF(OR(Authoring_Tool="Articulate Rise 360",Authoring_Tool="Articulate Storyline 360"),"£700+","£0.00")</f>
        <v>£0.00</v>
      </c>
      <c r="C75" s="6" t="str">
        <f>IF(ISBLANK(B75),"🔴 Error","🟢 High confidence")</f>
        <v>🟢 High confidence</v>
      </c>
    </row>
    <row r="77" spans="1:3" x14ac:dyDescent="0.2">
      <c r="A77" s="13" t="s">
        <v>258</v>
      </c>
      <c r="B77" s="13"/>
      <c r="C77" s="13"/>
    </row>
    <row r="79" spans="1:3" x14ac:dyDescent="0.2">
      <c r="A79" s="6" t="s">
        <v>259</v>
      </c>
      <c r="B79" s="6" t="str">
        <f>IF(AND(OR(Authoring_Tool="MS Forms",Authoring_Tool="MS PowerPoint"),Number_Scenarios&gt;0,Scenario_Complexity&lt;&gt;"Simple (1-2 decisions)"),"❌ Tool limited to simple scenarios",IF(AND(Authoring_Tool="Articulate Rise 360",Scenario_Complexity="Complex (5-8 decisions)"),"❌ Rise 360 cannot handle complex scenarios","✅ Valid scenario configuration"))</f>
        <v>✅ Valid scenario configuration</v>
      </c>
    </row>
    <row r="81" spans="1:3" x14ac:dyDescent="0.2">
      <c r="A81" s="6" t="s">
        <v>260</v>
      </c>
      <c r="B81" s="6" t="str">
        <f>IF(New_Content_Percent+Existing_Content_Percent=100,"✅ Valid: Total 100%","❌ Error: Must total 100%")</f>
        <v>✅ Valid: Total 100%</v>
      </c>
    </row>
    <row r="83" spans="1:3" x14ac:dyDescent="0.2">
      <c r="A83" s="6" t="s">
        <v>215</v>
      </c>
      <c r="B83" s="6" t="str">
        <f>IF(AND(Platform="Blackboard Ultra",Target_Audience&lt;&gt;"UoS students"),"⚠️ Warning: Blackboard Ultra for UoS students only",IF(AND(Platform="Totara",Target_Audience&lt;&gt;"UoS staff/PGRs"),"⚠️ Warning: Totara for UoS staff/PGRs",IF(AND(Platform="Course Catalog",Target_Audience&lt;&gt;"External professionals"),"⚠️ Warning: Course Catalog for external professionals","✅ Platform matches audience")))</f>
        <v>✅ Platform matches audience</v>
      </c>
    </row>
    <row r="85" spans="1:3" x14ac:dyDescent="0.2">
      <c r="A85" s="6" t="s">
        <v>261</v>
      </c>
      <c r="B85" s="6" t="str">
        <f>IF(B72&gt;30000,"⚠️ HIGH COST: Consider phased approach","✅ REASONABLE: Cost within normal range")</f>
        <v>✅ REASONABLE: Cost within normal range</v>
      </c>
    </row>
    <row r="87" spans="1:3" x14ac:dyDescent="0.2">
      <c r="A87" s="6" t="s">
        <v>262</v>
      </c>
      <c r="B87" s="6" t="str">
        <f>IF(Project_Duration&gt;180,"⚠️ Very long duration - verify requirements","✅ Duration within normal range")</f>
        <v>✅ Duration within normal range</v>
      </c>
    </row>
    <row r="89" spans="1:3" x14ac:dyDescent="0.2">
      <c r="A89" s="6" t="s">
        <v>263</v>
      </c>
      <c r="B89" s="6" t="str">
        <f>IF(Number_Scenarios&lt;0,"❌ Error: Scenarios cannot be negative",IF(Number_Scenarios&gt;20,"⚠️ Warning: Very high scenario count - verify requirements",IF(AND(Number_Scenarios&gt;0,Scenario_Complexity="No scenarios"),"❌ Error: Scenarios selected but complexity is 'No scenarios'","✅ Valid")))</f>
        <v>✅ Valid</v>
      </c>
      <c r="C89" s="6" t="str">
        <f>IF(OR(COUNTIF(B89,"❌*")&gt;0,COUNTIF(B89,"⚠️*")&gt;0),"🟡 Review needed","🟢 High confidence")</f>
        <v>🟢 High confidence</v>
      </c>
    </row>
    <row r="91" spans="1:3" x14ac:dyDescent="0.2">
      <c r="A91" s="6" t="s">
        <v>264</v>
      </c>
      <c r="B91" s="6" t="str">
        <f>IF(ISBLANK(Compliance_Level),"⚠️ Missing data","✅ High confidence")</f>
        <v>✅ High confidence</v>
      </c>
    </row>
    <row r="93" spans="1:3" x14ac:dyDescent="0.2">
      <c r="A93" s="6" t="s">
        <v>265</v>
      </c>
      <c r="B93" s="6" t="str">
        <f>IF(AND(Platform="Course Catalog",Compliance_Level="PSBAR compliance (includes WCAG 2.1 AA)"),"⚠️ Warning: Course Catalog content for European customers should use PSBAR + EAA compliance","✅ Compliance level appropriate for platform")</f>
        <v>✅ Compliance level appropriate for platform</v>
      </c>
    </row>
    <row r="95" spans="1:3" x14ac:dyDescent="0.2">
      <c r="A95" s="13" t="s">
        <v>266</v>
      </c>
      <c r="B95" s="13"/>
      <c r="C95" s="10"/>
    </row>
    <row r="97" spans="1:2" x14ac:dyDescent="0.2">
      <c r="A97" s="6" t="s">
        <v>267</v>
      </c>
      <c r="B97" s="6" t="str">
        <f>ROUND(B27/35,1)&amp;" weeks"</f>
        <v>2.8 weeks</v>
      </c>
    </row>
    <row r="98" spans="1:2" x14ac:dyDescent="0.2">
      <c r="A98" s="6" t="s">
        <v>268</v>
      </c>
      <c r="B98" s="6" t="str">
        <f>IF(B27&lt;200,"✅ Timeline: 6-10 weeks typical",IF(B27&lt;600,"⚠️ Timeline: 12-20 weeks - plan accordingly","🚨 Timeline: 20+ weeks - consider phased delivery"))</f>
        <v>✅ Timeline: 6-10 weeks typical</v>
      </c>
    </row>
    <row r="100" spans="1:2" x14ac:dyDescent="0.2">
      <c r="A100" s="6" t="s">
        <v>269</v>
      </c>
      <c r="B100" s="6" t="str">
        <f>IF(B58&lt;50,"✅ LOW: Manageable SME time required",IF(B58&lt;150,"⚠️ MODERATE: Plan significant SME availability","🚨 HIGH: Requires extensive SME commitment"))</f>
        <v>✅ LOW: Manageable SME time required</v>
      </c>
    </row>
    <row r="102" spans="1:2" x14ac:dyDescent="0.2">
      <c r="A102" s="6" t="s">
        <v>270</v>
      </c>
      <c r="B102" s="6" t="str">
        <f>IF((Number_Scenarios&gt;5)+(New_Content_Percent&gt;80)+(B72&gt;25000)&gt;=2,"🔴 HIGH RISK: Recommend 25% contingency","🟡 MEDIUM RISK: 20% contingency appropriate")</f>
        <v>🟡 MEDIUM RISK: 20% contingency appropriate</v>
      </c>
    </row>
    <row r="104" spans="1:2" x14ac:dyDescent="0.2">
      <c r="A104" s="6" t="s">
        <v>271</v>
      </c>
      <c r="B104" s="6" t="str">
        <f>IF(Number_Scenarios=0,"💡 Consider adding scenarios for better engagement",IF(Number_Scenarios&lt;3,"✅ Good scenario count for focused learning","⚠️ High scenario count - ensure all add value"))</f>
        <v>✅ Good scenario count for focused learning</v>
      </c>
    </row>
    <row r="106" spans="1:2" x14ac:dyDescent="0.2">
      <c r="A106" s="6" t="s">
        <v>272</v>
      </c>
      <c r="B106" s="6" t="str">
        <f>IF(B81="❌ Error: Must total 100%","1. Fix content percentage error first",IF(B72&gt;30000,"1. Consider breaking into phases","1. Proceed with detailed planning"))</f>
        <v>1. Proceed with detailed planning</v>
      </c>
    </row>
    <row r="108" spans="1:2" ht="45" x14ac:dyDescent="0.2">
      <c r="A108" s="6" t="s">
        <v>273</v>
      </c>
      <c r="B108" s="3" t="str">
        <f>"• Budget: "&amp;TEXT(B72,"£#,##0")&amp;CHAR(10)&amp;"• Timeline: "&amp;B97&amp;CHAR(10)&amp;"• SME time: "&amp;ROUND(B58,0)&amp;" hours"</f>
        <v>• Budget: £5,109
• Timeline: 2.8 weeks
• SME time: 30 hours</v>
      </c>
    </row>
  </sheetData>
  <mergeCells count="1">
    <mergeCell ref="A1:B1"/>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H74"/>
  <sheetViews>
    <sheetView topLeftCell="A8" zoomScale="116" workbookViewId="0">
      <selection activeCell="A10" sqref="A10"/>
    </sheetView>
  </sheetViews>
  <sheetFormatPr baseColWidth="10" defaultColWidth="12.6640625" defaultRowHeight="15.75" customHeight="1" x14ac:dyDescent="0.2"/>
  <cols>
    <col min="1" max="1" width="36.33203125" style="6" customWidth="1"/>
    <col min="2" max="2" width="18.33203125" style="6" customWidth="1"/>
    <col min="3" max="3" width="23" style="6" customWidth="1"/>
    <col min="4" max="4" width="22.33203125" style="6" customWidth="1"/>
    <col min="5" max="5" width="21.83203125" style="6" customWidth="1"/>
    <col min="6" max="6" width="15.5" style="6" customWidth="1"/>
    <col min="7" max="7" width="19.5" style="6" customWidth="1"/>
    <col min="8" max="8" width="37.5" style="6" customWidth="1"/>
    <col min="9" max="16384" width="12.6640625" style="6"/>
  </cols>
  <sheetData>
    <row r="1" spans="1:8" ht="45" customHeight="1" x14ac:dyDescent="0.2">
      <c r="A1" s="86" t="s">
        <v>0</v>
      </c>
      <c r="B1" s="86"/>
      <c r="C1" s="86"/>
      <c r="D1" s="86"/>
      <c r="E1" s="86" t="e" vm="1">
        <v>#VALUE!</v>
      </c>
      <c r="F1" s="86"/>
      <c r="G1" s="86"/>
      <c r="H1" s="86"/>
    </row>
    <row r="2" spans="1:8" ht="15.75" customHeight="1" x14ac:dyDescent="0.2">
      <c r="A2" s="8" t="s">
        <v>274</v>
      </c>
      <c r="B2" s="8"/>
      <c r="C2" s="8"/>
      <c r="D2" s="8"/>
      <c r="E2" s="8"/>
    </row>
    <row r="3" spans="1:8" ht="15.75" customHeight="1" x14ac:dyDescent="0.2">
      <c r="A3" s="6" t="str">
        <f>Project_Input!B6</f>
        <v>Test project</v>
      </c>
    </row>
    <row r="5" spans="1:8" ht="28" customHeight="1" x14ac:dyDescent="0.2">
      <c r="A5" s="13" t="s">
        <v>275</v>
      </c>
      <c r="B5" s="18" t="s">
        <v>276</v>
      </c>
      <c r="C5" s="13" t="s">
        <v>277</v>
      </c>
      <c r="D5" s="13" t="s">
        <v>377</v>
      </c>
      <c r="E5" s="10" t="s">
        <v>387</v>
      </c>
      <c r="F5" s="10" t="s">
        <v>388</v>
      </c>
      <c r="G5" s="10" t="s">
        <v>389</v>
      </c>
      <c r="H5" s="10" t="s">
        <v>390</v>
      </c>
    </row>
    <row r="6" spans="1:8" ht="15.75" customHeight="1" x14ac:dyDescent="0.2">
      <c r="A6" s="11" t="s">
        <v>278</v>
      </c>
      <c r="B6" s="61">
        <v>0</v>
      </c>
      <c r="C6" s="11" t="s">
        <v>279</v>
      </c>
      <c r="D6" s="6">
        <v>40</v>
      </c>
    </row>
    <row r="7" spans="1:8" ht="15.75" customHeight="1" x14ac:dyDescent="0.2">
      <c r="A7" s="11" t="s">
        <v>280</v>
      </c>
      <c r="B7" s="61">
        <v>0</v>
      </c>
      <c r="C7" s="11" t="s">
        <v>281</v>
      </c>
      <c r="D7" s="6">
        <v>40</v>
      </c>
    </row>
    <row r="8" spans="1:8" ht="15.75" customHeight="1" x14ac:dyDescent="0.2">
      <c r="A8" s="11" t="s">
        <v>282</v>
      </c>
      <c r="B8" s="11" t="s">
        <v>283</v>
      </c>
      <c r="C8" s="11" t="s">
        <v>284</v>
      </c>
      <c r="D8" s="6">
        <v>40</v>
      </c>
    </row>
    <row r="9" spans="1:8" ht="15.75" customHeight="1" x14ac:dyDescent="0.2">
      <c r="A9" s="11" t="s">
        <v>69</v>
      </c>
      <c r="B9" s="11" t="s">
        <v>69</v>
      </c>
      <c r="C9" s="11" t="s">
        <v>69</v>
      </c>
    </row>
    <row r="10" spans="1:8" s="15" customFormat="1" ht="29" customHeight="1" x14ac:dyDescent="0.15">
      <c r="A10" s="31" t="s">
        <v>294</v>
      </c>
      <c r="B10" s="31" t="s">
        <v>295</v>
      </c>
      <c r="C10" s="31" t="s">
        <v>296</v>
      </c>
      <c r="D10" s="31" t="s">
        <v>77</v>
      </c>
      <c r="E10" s="31" t="s">
        <v>297</v>
      </c>
      <c r="F10" s="31" t="s">
        <v>285</v>
      </c>
      <c r="G10" s="31" t="s">
        <v>378</v>
      </c>
      <c r="H10" s="31" t="s">
        <v>379</v>
      </c>
    </row>
    <row r="11" spans="1:8" s="65" customFormat="1" ht="15" customHeight="1" x14ac:dyDescent="0.2">
      <c r="A11" s="6" t="s">
        <v>286</v>
      </c>
      <c r="B11" s="65">
        <v>0</v>
      </c>
      <c r="C11" s="65">
        <v>7</v>
      </c>
      <c r="F11" s="65" t="s">
        <v>287</v>
      </c>
      <c r="G11" s="66">
        <v>0</v>
      </c>
      <c r="H11" s="6" t="s">
        <v>380</v>
      </c>
    </row>
    <row r="12" spans="1:8" ht="15.75" customHeight="1" x14ac:dyDescent="0.2">
      <c r="A12" s="6" t="s">
        <v>288</v>
      </c>
      <c r="B12" s="6">
        <v>0</v>
      </c>
      <c r="C12" s="6">
        <v>7</v>
      </c>
      <c r="F12" s="6" t="s">
        <v>287</v>
      </c>
      <c r="G12" s="29">
        <v>0</v>
      </c>
      <c r="H12" s="6" t="s">
        <v>381</v>
      </c>
    </row>
    <row r="13" spans="1:8" ht="15.75" customHeight="1" x14ac:dyDescent="0.2">
      <c r="A13" s="6" t="s">
        <v>289</v>
      </c>
      <c r="B13" s="6">
        <v>0</v>
      </c>
      <c r="C13" s="6">
        <v>14</v>
      </c>
      <c r="F13" s="6" t="s">
        <v>287</v>
      </c>
      <c r="G13" s="29">
        <v>0</v>
      </c>
      <c r="H13" s="6" t="s">
        <v>382</v>
      </c>
    </row>
    <row r="14" spans="1:8" ht="15.75" customHeight="1" x14ac:dyDescent="0.2">
      <c r="A14" s="6" t="s">
        <v>290</v>
      </c>
      <c r="B14" s="6">
        <v>0</v>
      </c>
      <c r="C14" s="6">
        <v>25</v>
      </c>
      <c r="D14" s="6">
        <v>35</v>
      </c>
      <c r="F14" s="6" t="s">
        <v>87</v>
      </c>
      <c r="G14" s="6" t="s">
        <v>291</v>
      </c>
      <c r="H14" s="6" t="s">
        <v>383</v>
      </c>
    </row>
    <row r="15" spans="1:8" ht="15.75" customHeight="1" x14ac:dyDescent="0.2">
      <c r="A15" s="6" t="s">
        <v>293</v>
      </c>
      <c r="B15" s="6">
        <v>0</v>
      </c>
      <c r="C15" s="6">
        <v>30</v>
      </c>
      <c r="D15" s="11">
        <v>45</v>
      </c>
      <c r="E15" s="6">
        <v>55</v>
      </c>
      <c r="F15" s="6" t="s">
        <v>292</v>
      </c>
      <c r="G15" s="29">
        <v>0</v>
      </c>
      <c r="H15" s="6" t="s">
        <v>384</v>
      </c>
    </row>
    <row r="16" spans="1:8" ht="15.75" customHeight="1" x14ac:dyDescent="0.2">
      <c r="A16" s="6" t="s">
        <v>72</v>
      </c>
      <c r="B16" s="6">
        <v>0</v>
      </c>
      <c r="C16" s="6">
        <v>25</v>
      </c>
      <c r="D16" s="11">
        <v>45</v>
      </c>
      <c r="E16" s="6">
        <v>55</v>
      </c>
      <c r="F16" s="6" t="s">
        <v>292</v>
      </c>
      <c r="G16" s="6" t="s">
        <v>291</v>
      </c>
      <c r="H16" s="6" t="s">
        <v>385</v>
      </c>
    </row>
    <row r="17" spans="1:8" ht="15.75" customHeight="1" x14ac:dyDescent="0.2">
      <c r="C17" s="11"/>
    </row>
    <row r="18" spans="1:8" ht="15.75" customHeight="1" x14ac:dyDescent="0.2">
      <c r="A18" s="13" t="s">
        <v>300</v>
      </c>
      <c r="B18" s="13" t="s">
        <v>301</v>
      </c>
      <c r="C18" s="19" t="s">
        <v>87</v>
      </c>
      <c r="D18" s="19" t="s">
        <v>302</v>
      </c>
      <c r="E18" s="10"/>
      <c r="F18" s="10"/>
      <c r="G18" s="10"/>
      <c r="H18" s="10"/>
    </row>
    <row r="19" spans="1:8" ht="15.75" customHeight="1" x14ac:dyDescent="0.2">
      <c r="A19" s="6" t="s">
        <v>303</v>
      </c>
      <c r="B19" s="6">
        <v>0</v>
      </c>
      <c r="C19" s="20" t="s">
        <v>304</v>
      </c>
      <c r="D19" s="20" t="s">
        <v>305</v>
      </c>
    </row>
    <row r="20" spans="1:8" ht="15.75" customHeight="1" x14ac:dyDescent="0.2">
      <c r="A20" s="6" t="s">
        <v>306</v>
      </c>
      <c r="B20" s="6" t="s">
        <v>307</v>
      </c>
      <c r="C20" s="20" t="s">
        <v>308</v>
      </c>
      <c r="D20" s="20" t="s">
        <v>309</v>
      </c>
    </row>
    <row r="21" spans="1:8" ht="15.75" customHeight="1" x14ac:dyDescent="0.2">
      <c r="A21" s="6" t="s">
        <v>310</v>
      </c>
      <c r="B21" s="6" t="s">
        <v>311</v>
      </c>
      <c r="C21" s="20" t="s">
        <v>312</v>
      </c>
      <c r="D21" s="20" t="s">
        <v>313</v>
      </c>
    </row>
    <row r="22" spans="1:8" ht="15.75" customHeight="1" x14ac:dyDescent="0.2">
      <c r="A22" s="6" t="s">
        <v>314</v>
      </c>
      <c r="B22" s="6" t="s">
        <v>109</v>
      </c>
      <c r="C22" s="20" t="s">
        <v>315</v>
      </c>
      <c r="D22" s="20" t="s">
        <v>316</v>
      </c>
    </row>
    <row r="23" spans="1:8" ht="15.75" customHeight="1" x14ac:dyDescent="0.2">
      <c r="A23" s="6" t="s">
        <v>317</v>
      </c>
      <c r="B23" s="6" t="s">
        <v>109</v>
      </c>
      <c r="C23" s="20" t="s">
        <v>318</v>
      </c>
      <c r="D23" s="20" t="s">
        <v>319</v>
      </c>
    </row>
    <row r="25" spans="1:8" ht="15.75" customHeight="1" x14ac:dyDescent="0.2">
      <c r="A25" s="13" t="s">
        <v>310</v>
      </c>
      <c r="B25" s="13" t="s">
        <v>320</v>
      </c>
      <c r="C25" s="13" t="s">
        <v>321</v>
      </c>
      <c r="D25" s="13"/>
      <c r="E25" s="10"/>
      <c r="F25" s="10"/>
      <c r="G25" s="10"/>
      <c r="H25" s="10"/>
    </row>
    <row r="26" spans="1:8" ht="15.75" customHeight="1" x14ac:dyDescent="0.2">
      <c r="A26" s="11" t="s">
        <v>82</v>
      </c>
      <c r="B26" s="11">
        <v>0.5</v>
      </c>
      <c r="C26" s="11">
        <v>10</v>
      </c>
    </row>
    <row r="27" spans="1:8" ht="15.75" customHeight="1" x14ac:dyDescent="0.2">
      <c r="A27" s="11" t="s">
        <v>322</v>
      </c>
      <c r="B27" s="11">
        <v>0.8</v>
      </c>
      <c r="C27" s="11">
        <v>15</v>
      </c>
    </row>
    <row r="28" spans="1:8" ht="15.75" customHeight="1" x14ac:dyDescent="0.2">
      <c r="A28" s="11" t="s">
        <v>323</v>
      </c>
      <c r="B28" s="11">
        <v>1.2</v>
      </c>
      <c r="C28" s="11">
        <v>25</v>
      </c>
    </row>
    <row r="29" spans="1:8" ht="15.75" customHeight="1" x14ac:dyDescent="0.2">
      <c r="A29" s="11" t="s">
        <v>324</v>
      </c>
      <c r="B29" s="11">
        <v>2</v>
      </c>
      <c r="C29" s="11">
        <v>40</v>
      </c>
    </row>
    <row r="31" spans="1:8" ht="15.75" customHeight="1" x14ac:dyDescent="0.2">
      <c r="A31" s="13" t="s">
        <v>325</v>
      </c>
      <c r="B31" s="13" t="s">
        <v>326</v>
      </c>
      <c r="C31" s="13" t="s">
        <v>299</v>
      </c>
      <c r="D31" s="13"/>
      <c r="E31" s="10"/>
      <c r="F31" s="10"/>
      <c r="G31" s="10"/>
      <c r="H31" s="10"/>
    </row>
    <row r="32" spans="1:8" ht="15.75" customHeight="1" x14ac:dyDescent="0.2">
      <c r="A32" s="11" t="s">
        <v>99</v>
      </c>
      <c r="B32" s="11">
        <v>0.35</v>
      </c>
      <c r="C32" s="11" t="s">
        <v>327</v>
      </c>
    </row>
    <row r="33" spans="1:8" ht="15.75" customHeight="1" x14ac:dyDescent="0.2">
      <c r="A33" s="11" t="s">
        <v>328</v>
      </c>
      <c r="B33" s="11">
        <v>0.4</v>
      </c>
      <c r="C33" s="11" t="s">
        <v>329</v>
      </c>
    </row>
    <row r="34" spans="1:8" ht="15.75" customHeight="1" x14ac:dyDescent="0.2">
      <c r="A34" s="11" t="s">
        <v>330</v>
      </c>
      <c r="B34" s="11">
        <v>0.25</v>
      </c>
      <c r="C34" s="11" t="s">
        <v>331</v>
      </c>
    </row>
    <row r="35" spans="1:8" ht="15.75" customHeight="1" x14ac:dyDescent="0.2">
      <c r="A35" s="11"/>
      <c r="B35" s="11"/>
      <c r="C35" s="11"/>
    </row>
    <row r="36" spans="1:8" ht="15.75" customHeight="1" x14ac:dyDescent="0.2">
      <c r="A36" s="12" t="s">
        <v>332</v>
      </c>
      <c r="B36" s="12"/>
      <c r="C36" s="12"/>
      <c r="D36" s="12"/>
      <c r="E36" s="12"/>
      <c r="F36" s="10"/>
      <c r="G36" s="10"/>
      <c r="H36" s="10"/>
    </row>
    <row r="37" spans="1:8" ht="15.75" customHeight="1" x14ac:dyDescent="0.2">
      <c r="A37" s="54" t="s">
        <v>333</v>
      </c>
      <c r="B37" s="62" t="s">
        <v>334</v>
      </c>
      <c r="C37" s="11" t="s">
        <v>335</v>
      </c>
    </row>
    <row r="38" spans="1:8" ht="15.75" customHeight="1" x14ac:dyDescent="0.2">
      <c r="A38" s="11" t="s">
        <v>336</v>
      </c>
      <c r="B38" s="62" t="s">
        <v>337</v>
      </c>
      <c r="C38" s="11" t="s">
        <v>338</v>
      </c>
    </row>
    <row r="39" spans="1:8" ht="15.75" customHeight="1" x14ac:dyDescent="0.2">
      <c r="A39" s="11" t="s">
        <v>339</v>
      </c>
      <c r="B39" s="57">
        <v>0.05</v>
      </c>
      <c r="C39" s="11" t="s">
        <v>340</v>
      </c>
    </row>
    <row r="40" spans="1:8" ht="15.75" customHeight="1" x14ac:dyDescent="0.2">
      <c r="A40" s="11"/>
      <c r="B40" s="57"/>
      <c r="C40" s="11"/>
    </row>
    <row r="41" spans="1:8" ht="15.75" customHeight="1" x14ac:dyDescent="0.2">
      <c r="A41" s="58" t="s">
        <v>341</v>
      </c>
      <c r="B41" s="59">
        <v>0.35</v>
      </c>
      <c r="C41" s="58" t="s">
        <v>342</v>
      </c>
      <c r="D41" s="58"/>
      <c r="E41" s="58"/>
    </row>
    <row r="42" spans="1:8" ht="15.75" customHeight="1" x14ac:dyDescent="0.2">
      <c r="A42" s="58" t="s">
        <v>343</v>
      </c>
      <c r="B42" s="59">
        <v>0.4</v>
      </c>
      <c r="C42" s="58" t="s">
        <v>344</v>
      </c>
      <c r="D42" s="58"/>
      <c r="E42" s="58"/>
    </row>
    <row r="43" spans="1:8" ht="15.75" customHeight="1" x14ac:dyDescent="0.2">
      <c r="A43" s="11"/>
      <c r="B43" s="63"/>
      <c r="C43" s="11"/>
      <c r="D43" s="11"/>
      <c r="E43" s="11"/>
    </row>
    <row r="44" spans="1:8" ht="15.75" customHeight="1" x14ac:dyDescent="0.2">
      <c r="A44" s="12" t="s">
        <v>345</v>
      </c>
      <c r="B44" s="64"/>
      <c r="C44" s="12"/>
      <c r="D44" s="12"/>
      <c r="E44" s="12"/>
      <c r="F44" s="10"/>
      <c r="G44" s="10"/>
      <c r="H44" s="10"/>
    </row>
    <row r="45" spans="1:8" ht="15.75" customHeight="1" x14ac:dyDescent="0.2">
      <c r="A45" s="11" t="s">
        <v>346</v>
      </c>
      <c r="B45" s="63" t="s">
        <v>347</v>
      </c>
      <c r="C45" s="11"/>
      <c r="D45" s="11"/>
      <c r="E45" s="11"/>
    </row>
    <row r="46" spans="1:8" ht="15.75" customHeight="1" x14ac:dyDescent="0.2">
      <c r="A46" s="11" t="s">
        <v>348</v>
      </c>
      <c r="B46" s="63">
        <v>-0.02</v>
      </c>
      <c r="C46" s="11"/>
      <c r="D46" s="11"/>
      <c r="E46" s="11"/>
    </row>
    <row r="47" spans="1:8" ht="15.75" customHeight="1" x14ac:dyDescent="0.2">
      <c r="A47" s="11" t="s">
        <v>349</v>
      </c>
      <c r="B47" s="63">
        <v>0</v>
      </c>
      <c r="C47" s="11"/>
      <c r="D47" s="11"/>
      <c r="E47" s="11"/>
    </row>
    <row r="48" spans="1:8" ht="15.75" customHeight="1" x14ac:dyDescent="0.2">
      <c r="A48" s="11" t="s">
        <v>105</v>
      </c>
      <c r="B48" s="63">
        <v>0.02</v>
      </c>
      <c r="C48" s="11"/>
      <c r="D48" s="11"/>
      <c r="E48" s="11"/>
    </row>
    <row r="49" spans="1:8" ht="15.75" customHeight="1" x14ac:dyDescent="0.2">
      <c r="A49" s="11"/>
      <c r="B49" s="11"/>
      <c r="C49" s="11"/>
      <c r="D49" s="11"/>
      <c r="E49" s="11"/>
    </row>
    <row r="50" spans="1:8" ht="15.75" customHeight="1" x14ac:dyDescent="0.2">
      <c r="A50" s="13" t="s">
        <v>350</v>
      </c>
      <c r="B50" s="13" t="s">
        <v>351</v>
      </c>
      <c r="C50" s="13" t="s">
        <v>299</v>
      </c>
      <c r="D50" s="13"/>
      <c r="E50" s="10"/>
      <c r="F50" s="10"/>
      <c r="G50" s="10"/>
      <c r="H50" s="10"/>
    </row>
    <row r="51" spans="1:8" ht="15.75" customHeight="1" x14ac:dyDescent="0.2">
      <c r="A51" s="11" t="s">
        <v>352</v>
      </c>
      <c r="B51" s="56">
        <v>1050</v>
      </c>
      <c r="C51" s="11" t="s">
        <v>353</v>
      </c>
    </row>
    <row r="52" spans="1:8" ht="15.75" customHeight="1" x14ac:dyDescent="0.2">
      <c r="A52" s="11" t="s">
        <v>114</v>
      </c>
      <c r="B52" s="56">
        <v>500</v>
      </c>
      <c r="C52" s="11" t="s">
        <v>354</v>
      </c>
    </row>
    <row r="53" spans="1:8" ht="15.75" customHeight="1" x14ac:dyDescent="0.2">
      <c r="A53" s="11" t="s">
        <v>159</v>
      </c>
      <c r="B53" s="56">
        <v>300</v>
      </c>
      <c r="C53" s="11" t="s">
        <v>355</v>
      </c>
    </row>
    <row r="54" spans="1:8" ht="15.75" customHeight="1" x14ac:dyDescent="0.2">
      <c r="A54" s="11" t="s">
        <v>356</v>
      </c>
      <c r="B54" s="56">
        <v>200</v>
      </c>
      <c r="C54" s="11" t="s">
        <v>357</v>
      </c>
    </row>
    <row r="55" spans="1:8" ht="15.75" customHeight="1" x14ac:dyDescent="0.2">
      <c r="A55" s="11" t="s">
        <v>358</v>
      </c>
      <c r="B55" s="56">
        <v>800</v>
      </c>
      <c r="C55" s="11" t="s">
        <v>354</v>
      </c>
    </row>
    <row r="56" spans="1:8" ht="15.75" customHeight="1" x14ac:dyDescent="0.2">
      <c r="A56" s="11"/>
      <c r="B56" s="11"/>
      <c r="C56" s="11"/>
    </row>
    <row r="57" spans="1:8" ht="41" customHeight="1" x14ac:dyDescent="0.2">
      <c r="A57" s="87" t="s">
        <v>359</v>
      </c>
      <c r="B57" s="87"/>
      <c r="C57" s="87"/>
      <c r="D57" s="87"/>
      <c r="E57" s="87"/>
      <c r="F57" s="87"/>
      <c r="G57" s="87"/>
      <c r="H57" s="87"/>
    </row>
    <row r="58" spans="1:8" ht="15.75" customHeight="1" x14ac:dyDescent="0.2">
      <c r="A58" s="6" t="s">
        <v>360</v>
      </c>
    </row>
    <row r="59" spans="1:8" ht="15.75" customHeight="1" x14ac:dyDescent="0.2">
      <c r="A59" s="6" t="s">
        <v>361</v>
      </c>
    </row>
    <row r="60" spans="1:8" ht="15.75" customHeight="1" x14ac:dyDescent="0.2">
      <c r="A60" s="6" t="s">
        <v>362</v>
      </c>
    </row>
    <row r="61" spans="1:8" ht="15.75" customHeight="1" x14ac:dyDescent="0.2">
      <c r="A61" s="6" t="s">
        <v>363</v>
      </c>
    </row>
    <row r="62" spans="1:8" ht="15.75" customHeight="1" x14ac:dyDescent="0.2">
      <c r="A62" s="6" t="s">
        <v>364</v>
      </c>
    </row>
    <row r="63" spans="1:8" ht="15.75" customHeight="1" x14ac:dyDescent="0.2">
      <c r="A63" s="6" t="s">
        <v>365</v>
      </c>
    </row>
    <row r="64" spans="1:8" ht="15.75" customHeight="1" x14ac:dyDescent="0.2">
      <c r="A64" s="6" t="s">
        <v>366</v>
      </c>
    </row>
    <row r="65" spans="1:1" ht="15.75" customHeight="1" x14ac:dyDescent="0.2">
      <c r="A65" s="6" t="s">
        <v>367</v>
      </c>
    </row>
    <row r="66" spans="1:1" ht="15.75" customHeight="1" x14ac:dyDescent="0.2">
      <c r="A66" s="6" t="s">
        <v>368</v>
      </c>
    </row>
    <row r="67" spans="1:1" ht="15.75" customHeight="1" x14ac:dyDescent="0.2">
      <c r="A67" s="6" t="s">
        <v>369</v>
      </c>
    </row>
    <row r="68" spans="1:1" ht="15.75" customHeight="1" x14ac:dyDescent="0.2">
      <c r="A68" s="6" t="s">
        <v>370</v>
      </c>
    </row>
    <row r="69" spans="1:1" ht="15.75" customHeight="1" x14ac:dyDescent="0.2">
      <c r="A69" s="6" t="s">
        <v>371</v>
      </c>
    </row>
    <row r="70" spans="1:1" ht="15.75" customHeight="1" x14ac:dyDescent="0.2">
      <c r="A70" s="6" t="s">
        <v>371</v>
      </c>
    </row>
    <row r="71" spans="1:1" ht="15.75" customHeight="1" x14ac:dyDescent="0.2">
      <c r="A71" s="6" t="s">
        <v>372</v>
      </c>
    </row>
    <row r="72" spans="1:1" ht="15.75" customHeight="1" x14ac:dyDescent="0.2">
      <c r="A72" s="6" t="s">
        <v>373</v>
      </c>
    </row>
    <row r="73" spans="1:1" ht="15.75" customHeight="1" x14ac:dyDescent="0.2">
      <c r="A73" s="6" t="s">
        <v>374</v>
      </c>
    </row>
    <row r="74" spans="1:1" ht="15.75" customHeight="1" x14ac:dyDescent="0.2">
      <c r="A74" s="6" t="s">
        <v>375</v>
      </c>
    </row>
  </sheetData>
  <mergeCells count="3">
    <mergeCell ref="A1:D1"/>
    <mergeCell ref="A57:H57"/>
    <mergeCell ref="E1:H1"/>
  </mergeCells>
  <pageMargins left="0.7" right="0.7" top="0.75" bottom="0.75" header="0.3" footer="0.3"/>
  <pageSetup paperSize="9" scale="94" orientation="portrait" horizontalDpi="0" verticalDpi="0"/>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5FCB-8A4B-CA42-95E8-75CFB0D42B81}">
  <dimension ref="A1:H187"/>
  <sheetViews>
    <sheetView workbookViewId="0">
      <selection activeCell="A84" sqref="A84:H84"/>
    </sheetView>
  </sheetViews>
  <sheetFormatPr baseColWidth="10" defaultRowHeight="13" x14ac:dyDescent="0.15"/>
  <cols>
    <col min="1" max="1" width="27" customWidth="1"/>
    <col min="2" max="2" width="56.83203125" customWidth="1"/>
    <col min="3" max="3" width="36.33203125" customWidth="1"/>
    <col min="5" max="5" width="12.1640625" customWidth="1"/>
  </cols>
  <sheetData>
    <row r="1" spans="1:8" ht="30" x14ac:dyDescent="0.3">
      <c r="A1" s="67" t="s">
        <v>391</v>
      </c>
    </row>
    <row r="3" spans="1:8" ht="18" x14ac:dyDescent="0.2">
      <c r="A3" s="73" t="s">
        <v>392</v>
      </c>
      <c r="B3" s="73" t="s">
        <v>393</v>
      </c>
      <c r="C3" s="74"/>
      <c r="D3" s="74"/>
      <c r="E3" s="74"/>
      <c r="F3" s="74"/>
      <c r="G3" s="74"/>
      <c r="H3" s="74"/>
    </row>
    <row r="4" spans="1:8" ht="18" x14ac:dyDescent="0.2">
      <c r="A4" s="68" t="s">
        <v>394</v>
      </c>
      <c r="B4" s="69">
        <v>45951</v>
      </c>
    </row>
    <row r="5" spans="1:8" ht="18" x14ac:dyDescent="0.2">
      <c r="A5" s="68" t="s">
        <v>395</v>
      </c>
      <c r="B5" s="70">
        <v>2.1</v>
      </c>
    </row>
    <row r="6" spans="1:8" ht="18" x14ac:dyDescent="0.2">
      <c r="A6" s="68" t="s">
        <v>396</v>
      </c>
      <c r="B6" s="70" t="s">
        <v>397</v>
      </c>
    </row>
    <row r="7" spans="1:8" ht="23" x14ac:dyDescent="0.25">
      <c r="A7" s="71" t="s">
        <v>398</v>
      </c>
    </row>
    <row r="9" spans="1:8" ht="18" x14ac:dyDescent="0.2">
      <c r="A9" s="73" t="s">
        <v>399</v>
      </c>
      <c r="B9" s="73" t="s">
        <v>396</v>
      </c>
      <c r="C9" s="73" t="s">
        <v>400</v>
      </c>
      <c r="D9" s="74"/>
      <c r="E9" s="74"/>
      <c r="F9" s="74"/>
      <c r="G9" s="74"/>
      <c r="H9" s="74"/>
    </row>
    <row r="10" spans="1:8" ht="18" x14ac:dyDescent="0.2">
      <c r="A10" s="70" t="s">
        <v>401</v>
      </c>
      <c r="B10" s="70" t="s">
        <v>402</v>
      </c>
      <c r="C10" s="70" t="s">
        <v>403</v>
      </c>
    </row>
    <row r="11" spans="1:8" ht="18" x14ac:dyDescent="0.2">
      <c r="A11" s="70" t="s">
        <v>404</v>
      </c>
      <c r="B11" s="70" t="s">
        <v>405</v>
      </c>
      <c r="C11" s="70" t="s">
        <v>406</v>
      </c>
    </row>
    <row r="12" spans="1:8" ht="18" x14ac:dyDescent="0.2">
      <c r="A12" s="70" t="s">
        <v>407</v>
      </c>
      <c r="B12" s="70" t="s">
        <v>408</v>
      </c>
      <c r="C12" s="70" t="s">
        <v>409</v>
      </c>
    </row>
    <row r="13" spans="1:8" ht="18" x14ac:dyDescent="0.2">
      <c r="A13" s="70" t="s">
        <v>410</v>
      </c>
      <c r="B13" s="70" t="s">
        <v>408</v>
      </c>
      <c r="C13" s="70" t="s">
        <v>411</v>
      </c>
    </row>
    <row r="14" spans="1:8" ht="18" x14ac:dyDescent="0.2">
      <c r="A14" s="70" t="s">
        <v>412</v>
      </c>
      <c r="B14" s="70" t="s">
        <v>413</v>
      </c>
      <c r="C14" s="70" t="s">
        <v>414</v>
      </c>
    </row>
    <row r="15" spans="1:8" ht="18" x14ac:dyDescent="0.2">
      <c r="A15" s="70" t="s">
        <v>415</v>
      </c>
      <c r="B15" s="70" t="s">
        <v>416</v>
      </c>
      <c r="C15" s="70" t="s">
        <v>417</v>
      </c>
    </row>
    <row r="16" spans="1:8" ht="18" x14ac:dyDescent="0.2">
      <c r="A16" s="70" t="s">
        <v>418</v>
      </c>
      <c r="B16" s="70" t="s">
        <v>419</v>
      </c>
      <c r="C16" s="70" t="s">
        <v>420</v>
      </c>
    </row>
    <row r="17" spans="1:8" ht="23" x14ac:dyDescent="0.25">
      <c r="A17" s="71" t="s">
        <v>421</v>
      </c>
    </row>
    <row r="19" spans="1:8" ht="18" x14ac:dyDescent="0.2">
      <c r="A19" s="73" t="s">
        <v>422</v>
      </c>
      <c r="B19" s="73" t="s">
        <v>423</v>
      </c>
      <c r="C19" s="73" t="s">
        <v>299</v>
      </c>
      <c r="D19" s="73" t="s">
        <v>424</v>
      </c>
      <c r="E19" s="74"/>
      <c r="F19" s="74"/>
      <c r="G19" s="74"/>
      <c r="H19" s="74"/>
    </row>
    <row r="20" spans="1:8" ht="18" x14ac:dyDescent="0.2">
      <c r="A20" s="70" t="s">
        <v>425</v>
      </c>
      <c r="B20" s="70" t="s">
        <v>426</v>
      </c>
      <c r="C20" s="70" t="s">
        <v>427</v>
      </c>
      <c r="D20" s="70" t="s">
        <v>428</v>
      </c>
    </row>
    <row r="21" spans="1:8" ht="18" x14ac:dyDescent="0.2">
      <c r="A21" s="70" t="s">
        <v>275</v>
      </c>
      <c r="B21" s="70" t="s">
        <v>429</v>
      </c>
      <c r="C21" s="70" t="s">
        <v>430</v>
      </c>
      <c r="D21" s="70" t="s">
        <v>428</v>
      </c>
    </row>
    <row r="22" spans="1:8" ht="18" x14ac:dyDescent="0.2">
      <c r="A22" s="70" t="s">
        <v>431</v>
      </c>
      <c r="B22" s="70" t="s">
        <v>432</v>
      </c>
      <c r="C22" s="70" t="s">
        <v>433</v>
      </c>
      <c r="D22" s="70" t="s">
        <v>434</v>
      </c>
    </row>
    <row r="23" spans="1:8" ht="18" x14ac:dyDescent="0.2">
      <c r="A23" s="70" t="s">
        <v>435</v>
      </c>
      <c r="B23" s="70" t="s">
        <v>436</v>
      </c>
      <c r="C23" s="70" t="s">
        <v>437</v>
      </c>
      <c r="D23" s="70" t="s">
        <v>438</v>
      </c>
    </row>
    <row r="24" spans="1:8" ht="18" x14ac:dyDescent="0.2">
      <c r="A24" s="70" t="s">
        <v>439</v>
      </c>
      <c r="B24" s="70" t="s">
        <v>440</v>
      </c>
      <c r="C24" s="70" t="s">
        <v>441</v>
      </c>
      <c r="D24" s="70" t="s">
        <v>434</v>
      </c>
    </row>
    <row r="25" spans="1:8" ht="23" x14ac:dyDescent="0.25">
      <c r="A25" s="71" t="s">
        <v>442</v>
      </c>
    </row>
    <row r="27" spans="1:8" ht="18" x14ac:dyDescent="0.2">
      <c r="A27" s="73" t="s">
        <v>422</v>
      </c>
      <c r="B27" s="73" t="s">
        <v>423</v>
      </c>
      <c r="C27" s="73" t="s">
        <v>299</v>
      </c>
      <c r="D27" s="73" t="s">
        <v>443</v>
      </c>
      <c r="E27" s="74"/>
      <c r="F27" s="74"/>
      <c r="G27" s="74"/>
      <c r="H27" s="74"/>
    </row>
    <row r="28" spans="1:8" ht="18" x14ac:dyDescent="0.2">
      <c r="A28" s="70" t="s">
        <v>444</v>
      </c>
      <c r="B28" s="70" t="s">
        <v>428</v>
      </c>
      <c r="C28" s="70" t="s">
        <v>445</v>
      </c>
      <c r="D28" s="70" t="s">
        <v>446</v>
      </c>
    </row>
    <row r="29" spans="1:8" ht="18" x14ac:dyDescent="0.2">
      <c r="A29" s="70" t="s">
        <v>447</v>
      </c>
      <c r="B29" s="70" t="s">
        <v>434</v>
      </c>
      <c r="C29" s="70" t="s">
        <v>448</v>
      </c>
      <c r="D29" s="70" t="s">
        <v>449</v>
      </c>
    </row>
    <row r="30" spans="1:8" ht="18" x14ac:dyDescent="0.2">
      <c r="A30" s="70" t="s">
        <v>450</v>
      </c>
      <c r="B30" s="70" t="s">
        <v>451</v>
      </c>
      <c r="C30" s="70" t="s">
        <v>452</v>
      </c>
      <c r="D30" s="70" t="s">
        <v>453</v>
      </c>
    </row>
    <row r="31" spans="1:8" ht="18" x14ac:dyDescent="0.2">
      <c r="A31" s="70" t="s">
        <v>454</v>
      </c>
      <c r="B31" s="70" t="s">
        <v>455</v>
      </c>
      <c r="C31" s="70" t="s">
        <v>456</v>
      </c>
      <c r="D31" s="70" t="s">
        <v>457</v>
      </c>
    </row>
    <row r="32" spans="1:8" ht="23" x14ac:dyDescent="0.25">
      <c r="A32" s="71" t="s">
        <v>458</v>
      </c>
    </row>
    <row r="34" spans="1:8" ht="18" x14ac:dyDescent="0.2">
      <c r="A34" s="73" t="s">
        <v>459</v>
      </c>
      <c r="B34" s="74"/>
      <c r="C34" s="74"/>
      <c r="D34" s="74"/>
      <c r="E34" s="74"/>
      <c r="F34" s="74"/>
      <c r="G34" s="74"/>
      <c r="H34" s="74"/>
    </row>
    <row r="35" spans="1:8" ht="18" x14ac:dyDescent="0.2">
      <c r="A35" s="68" t="s">
        <v>460</v>
      </c>
      <c r="B35" s="70" t="s">
        <v>461</v>
      </c>
    </row>
    <row r="36" spans="1:8" ht="18" x14ac:dyDescent="0.2">
      <c r="A36" s="68" t="s">
        <v>396</v>
      </c>
      <c r="B36" s="70" t="s">
        <v>462</v>
      </c>
    </row>
    <row r="37" spans="1:8" ht="18" x14ac:dyDescent="0.2">
      <c r="A37" s="68" t="s">
        <v>463</v>
      </c>
      <c r="B37" s="70" t="s">
        <v>464</v>
      </c>
    </row>
    <row r="38" spans="1:8" ht="18" x14ac:dyDescent="0.2">
      <c r="A38" s="73" t="s">
        <v>465</v>
      </c>
      <c r="B38" s="73" t="s">
        <v>466</v>
      </c>
      <c r="C38" s="73" t="s">
        <v>467</v>
      </c>
      <c r="D38" s="73" t="s">
        <v>468</v>
      </c>
      <c r="E38" s="74"/>
      <c r="F38" s="74"/>
      <c r="G38" s="74"/>
      <c r="H38" s="74"/>
    </row>
    <row r="39" spans="1:8" ht="18" x14ac:dyDescent="0.2">
      <c r="A39" s="70" t="s">
        <v>469</v>
      </c>
      <c r="B39" s="70" t="s">
        <v>275</v>
      </c>
      <c r="C39" s="70" t="s">
        <v>470</v>
      </c>
      <c r="D39" s="70" t="s">
        <v>471</v>
      </c>
    </row>
    <row r="40" spans="1:8" ht="18" x14ac:dyDescent="0.2">
      <c r="A40" s="70" t="s">
        <v>472</v>
      </c>
      <c r="B40" s="70" t="s">
        <v>276</v>
      </c>
      <c r="C40" s="70" t="s">
        <v>473</v>
      </c>
      <c r="D40" s="70" t="s">
        <v>474</v>
      </c>
    </row>
    <row r="41" spans="1:8" ht="18" x14ac:dyDescent="0.2">
      <c r="A41" s="70" t="s">
        <v>475</v>
      </c>
      <c r="B41" s="70" t="s">
        <v>277</v>
      </c>
      <c r="C41" s="70" t="s">
        <v>470</v>
      </c>
      <c r="D41" s="70" t="s">
        <v>476</v>
      </c>
    </row>
    <row r="42" spans="1:8" ht="18" x14ac:dyDescent="0.2">
      <c r="A42" s="70" t="s">
        <v>477</v>
      </c>
      <c r="B42" s="70" t="s">
        <v>377</v>
      </c>
      <c r="C42" s="70" t="s">
        <v>478</v>
      </c>
      <c r="D42" s="70" t="s">
        <v>479</v>
      </c>
    </row>
    <row r="43" spans="1:8" ht="18" x14ac:dyDescent="0.2">
      <c r="A43" s="73" t="s">
        <v>480</v>
      </c>
      <c r="B43" s="74"/>
      <c r="C43" s="74"/>
      <c r="D43" s="74"/>
      <c r="E43" s="74"/>
      <c r="F43" s="74"/>
      <c r="G43" s="74"/>
      <c r="H43" s="74"/>
    </row>
    <row r="44" spans="1:8" ht="18" x14ac:dyDescent="0.2">
      <c r="A44" s="70" t="s">
        <v>481</v>
      </c>
      <c r="B44" s="70" t="s">
        <v>482</v>
      </c>
    </row>
    <row r="45" spans="1:8" ht="18" x14ac:dyDescent="0.2">
      <c r="A45" s="70" t="s">
        <v>481</v>
      </c>
      <c r="B45" s="70" t="s">
        <v>483</v>
      </c>
    </row>
    <row r="46" spans="1:8" ht="18" x14ac:dyDescent="0.2">
      <c r="A46" s="70" t="s">
        <v>484</v>
      </c>
      <c r="B46" s="70" t="s">
        <v>485</v>
      </c>
    </row>
    <row r="47" spans="1:8" ht="23" x14ac:dyDescent="0.25">
      <c r="A47" s="71" t="s">
        <v>486</v>
      </c>
    </row>
    <row r="49" spans="1:8" ht="18" x14ac:dyDescent="0.2">
      <c r="A49" s="73" t="s">
        <v>459</v>
      </c>
      <c r="B49" s="74"/>
      <c r="C49" s="74"/>
      <c r="D49" s="74"/>
      <c r="E49" s="74"/>
      <c r="F49" s="74"/>
      <c r="G49" s="74"/>
      <c r="H49" s="74"/>
    </row>
    <row r="50" spans="1:8" ht="18" x14ac:dyDescent="0.2">
      <c r="A50" s="68" t="s">
        <v>460</v>
      </c>
      <c r="B50" s="70" t="s">
        <v>487</v>
      </c>
    </row>
    <row r="51" spans="1:8" ht="18" x14ac:dyDescent="0.2">
      <c r="A51" s="68" t="s">
        <v>396</v>
      </c>
      <c r="B51" s="70" t="s">
        <v>488</v>
      </c>
    </row>
    <row r="52" spans="1:8" ht="18" x14ac:dyDescent="0.2">
      <c r="A52" s="68" t="s">
        <v>463</v>
      </c>
      <c r="B52" s="70" t="s">
        <v>489</v>
      </c>
    </row>
    <row r="53" spans="1:8" ht="18" x14ac:dyDescent="0.2">
      <c r="A53" s="73" t="s">
        <v>465</v>
      </c>
      <c r="B53" s="73" t="s">
        <v>466</v>
      </c>
      <c r="C53" s="73" t="s">
        <v>467</v>
      </c>
      <c r="D53" s="73" t="s">
        <v>468</v>
      </c>
      <c r="E53" s="74"/>
      <c r="F53" s="74"/>
      <c r="G53" s="74"/>
      <c r="H53" s="74"/>
    </row>
    <row r="54" spans="1:8" ht="18" x14ac:dyDescent="0.2">
      <c r="A54" s="70" t="s">
        <v>469</v>
      </c>
      <c r="B54" s="70" t="s">
        <v>294</v>
      </c>
      <c r="C54" s="70" t="s">
        <v>470</v>
      </c>
      <c r="D54" s="70" t="s">
        <v>490</v>
      </c>
    </row>
    <row r="55" spans="1:8" ht="18" x14ac:dyDescent="0.2">
      <c r="A55" s="70" t="s">
        <v>472</v>
      </c>
      <c r="B55" s="70" t="s">
        <v>295</v>
      </c>
      <c r="C55" s="70" t="s">
        <v>478</v>
      </c>
      <c r="D55" s="70" t="s">
        <v>491</v>
      </c>
    </row>
    <row r="56" spans="1:8" ht="18" x14ac:dyDescent="0.2">
      <c r="A56" s="70" t="s">
        <v>475</v>
      </c>
      <c r="B56" s="70" t="s">
        <v>296</v>
      </c>
      <c r="C56" s="70" t="s">
        <v>478</v>
      </c>
      <c r="D56" s="70" t="s">
        <v>492</v>
      </c>
    </row>
    <row r="57" spans="1:8" ht="18" x14ac:dyDescent="0.2">
      <c r="A57" s="70" t="s">
        <v>477</v>
      </c>
      <c r="B57" s="70" t="s">
        <v>77</v>
      </c>
      <c r="C57" s="70" t="s">
        <v>493</v>
      </c>
      <c r="D57" s="70" t="s">
        <v>494</v>
      </c>
    </row>
    <row r="58" spans="1:8" ht="18" x14ac:dyDescent="0.2">
      <c r="A58" s="70" t="s">
        <v>495</v>
      </c>
      <c r="B58" s="70" t="s">
        <v>297</v>
      </c>
      <c r="C58" s="70" t="s">
        <v>493</v>
      </c>
      <c r="D58" s="70" t="s">
        <v>494</v>
      </c>
    </row>
    <row r="59" spans="1:8" ht="18" x14ac:dyDescent="0.2">
      <c r="A59" s="70" t="s">
        <v>496</v>
      </c>
      <c r="B59" s="70" t="s">
        <v>285</v>
      </c>
      <c r="C59" s="70" t="s">
        <v>470</v>
      </c>
      <c r="D59" s="70" t="s">
        <v>497</v>
      </c>
    </row>
    <row r="60" spans="1:8" ht="18" x14ac:dyDescent="0.2">
      <c r="A60" s="70" t="s">
        <v>498</v>
      </c>
      <c r="B60" s="70" t="s">
        <v>499</v>
      </c>
      <c r="C60" s="70" t="s">
        <v>470</v>
      </c>
      <c r="D60" s="70" t="s">
        <v>500</v>
      </c>
    </row>
    <row r="61" spans="1:8" ht="18" x14ac:dyDescent="0.2">
      <c r="A61" s="70" t="s">
        <v>501</v>
      </c>
      <c r="B61" s="70" t="s">
        <v>379</v>
      </c>
      <c r="C61" s="70" t="s">
        <v>470</v>
      </c>
      <c r="D61" s="70" t="s">
        <v>502</v>
      </c>
    </row>
    <row r="62" spans="1:8" ht="23" x14ac:dyDescent="0.25">
      <c r="A62" s="71" t="s">
        <v>503</v>
      </c>
    </row>
    <row r="64" spans="1:8" ht="18" x14ac:dyDescent="0.2">
      <c r="A64" s="73" t="s">
        <v>298</v>
      </c>
      <c r="B64" s="73" t="s">
        <v>287</v>
      </c>
      <c r="C64" s="73" t="s">
        <v>87</v>
      </c>
      <c r="D64" s="73" t="s">
        <v>292</v>
      </c>
      <c r="E64" s="73" t="s">
        <v>504</v>
      </c>
      <c r="F64" s="74"/>
      <c r="G64" s="74"/>
      <c r="H64" s="74"/>
    </row>
    <row r="65" spans="1:8" ht="18" x14ac:dyDescent="0.2">
      <c r="A65" s="70" t="s">
        <v>286</v>
      </c>
      <c r="B65" s="70">
        <v>7</v>
      </c>
      <c r="C65" s="70" t="s">
        <v>505</v>
      </c>
      <c r="D65" s="70" t="s">
        <v>505</v>
      </c>
      <c r="E65" s="70" t="s">
        <v>287</v>
      </c>
    </row>
    <row r="66" spans="1:8" ht="18" x14ac:dyDescent="0.2">
      <c r="A66" s="70" t="s">
        <v>288</v>
      </c>
      <c r="B66" s="70">
        <v>7</v>
      </c>
      <c r="C66" s="70" t="s">
        <v>505</v>
      </c>
      <c r="D66" s="70" t="s">
        <v>505</v>
      </c>
      <c r="E66" s="70" t="s">
        <v>287</v>
      </c>
    </row>
    <row r="67" spans="1:8" ht="18" x14ac:dyDescent="0.2">
      <c r="A67" s="70" t="s">
        <v>289</v>
      </c>
      <c r="B67" s="70">
        <v>14</v>
      </c>
      <c r="C67" s="70" t="s">
        <v>505</v>
      </c>
      <c r="D67" s="70" t="s">
        <v>505</v>
      </c>
      <c r="E67" s="70" t="s">
        <v>287</v>
      </c>
    </row>
    <row r="68" spans="1:8" ht="18" x14ac:dyDescent="0.2">
      <c r="A68" s="70" t="s">
        <v>290</v>
      </c>
      <c r="B68" s="70">
        <v>25</v>
      </c>
      <c r="C68" s="70">
        <v>35</v>
      </c>
      <c r="D68" s="70" t="s">
        <v>505</v>
      </c>
      <c r="E68" s="70" t="s">
        <v>87</v>
      </c>
    </row>
    <row r="69" spans="1:8" ht="18" x14ac:dyDescent="0.2">
      <c r="A69" s="70" t="s">
        <v>293</v>
      </c>
      <c r="B69" s="70">
        <v>30</v>
      </c>
      <c r="C69" s="70">
        <v>45</v>
      </c>
      <c r="D69" s="70">
        <v>55</v>
      </c>
      <c r="E69" s="70" t="s">
        <v>292</v>
      </c>
    </row>
    <row r="70" spans="1:8" ht="18" x14ac:dyDescent="0.2">
      <c r="A70" s="70" t="s">
        <v>72</v>
      </c>
      <c r="B70" s="70">
        <v>25</v>
      </c>
      <c r="C70" s="70">
        <v>45</v>
      </c>
      <c r="D70" s="70">
        <v>55</v>
      </c>
      <c r="E70" s="70" t="s">
        <v>292</v>
      </c>
    </row>
    <row r="71" spans="1:8" ht="18" x14ac:dyDescent="0.2">
      <c r="A71" s="73" t="s">
        <v>480</v>
      </c>
      <c r="B71" s="74"/>
      <c r="C71" s="74"/>
      <c r="D71" s="74"/>
      <c r="E71" s="74"/>
      <c r="F71" s="74"/>
      <c r="G71" s="74"/>
      <c r="H71" s="74"/>
    </row>
    <row r="72" spans="1:8" ht="18" x14ac:dyDescent="0.2">
      <c r="A72" s="70" t="s">
        <v>481</v>
      </c>
      <c r="B72" s="70" t="s">
        <v>506</v>
      </c>
    </row>
    <row r="73" spans="1:8" ht="18" x14ac:dyDescent="0.2">
      <c r="A73" s="70" t="s">
        <v>481</v>
      </c>
      <c r="B73" s="70" t="s">
        <v>507</v>
      </c>
    </row>
    <row r="74" spans="1:8" ht="18" x14ac:dyDescent="0.2">
      <c r="A74" s="70" t="s">
        <v>481</v>
      </c>
      <c r="B74" s="70" t="s">
        <v>508</v>
      </c>
    </row>
    <row r="75" spans="1:8" ht="18" x14ac:dyDescent="0.2">
      <c r="A75" s="70" t="s">
        <v>484</v>
      </c>
      <c r="B75" s="70" t="s">
        <v>509</v>
      </c>
    </row>
    <row r="76" spans="1:8" ht="18" x14ac:dyDescent="0.2">
      <c r="A76" s="70" t="s">
        <v>484</v>
      </c>
      <c r="B76" s="70" t="s">
        <v>510</v>
      </c>
    </row>
    <row r="77" spans="1:8" ht="23" x14ac:dyDescent="0.25">
      <c r="A77" s="71" t="s">
        <v>511</v>
      </c>
    </row>
    <row r="79" spans="1:8" ht="18" x14ac:dyDescent="0.2">
      <c r="A79" s="73" t="s">
        <v>512</v>
      </c>
      <c r="B79" s="74"/>
      <c r="C79" s="74"/>
      <c r="D79" s="74"/>
      <c r="E79" s="74"/>
      <c r="F79" s="74"/>
      <c r="G79" s="74"/>
      <c r="H79" s="74"/>
    </row>
    <row r="80" spans="1:8" ht="19" x14ac:dyDescent="0.25">
      <c r="A80" s="72">
        <f>(Project_Duration/60)*VLOOKUP(Platform,tbl_Platforms[],4,FALSE)</f>
        <v>40</v>
      </c>
    </row>
    <row r="81" spans="1:8" ht="18" x14ac:dyDescent="0.2">
      <c r="A81" s="73" t="s">
        <v>513</v>
      </c>
      <c r="B81" s="73" t="s">
        <v>299</v>
      </c>
      <c r="C81" s="74"/>
      <c r="D81" s="74"/>
      <c r="E81" s="74"/>
      <c r="F81" s="74"/>
      <c r="G81" s="74"/>
      <c r="H81" s="74"/>
    </row>
    <row r="82" spans="1:8" ht="18" x14ac:dyDescent="0.2">
      <c r="A82" s="70" t="s">
        <v>514</v>
      </c>
      <c r="B82" s="70" t="s">
        <v>515</v>
      </c>
    </row>
    <row r="83" spans="1:8" ht="18" x14ac:dyDescent="0.2">
      <c r="A83" s="70" t="s">
        <v>516</v>
      </c>
      <c r="B83" s="70" t="s">
        <v>517</v>
      </c>
    </row>
    <row r="84" spans="1:8" ht="18" x14ac:dyDescent="0.2">
      <c r="A84" s="73" t="s">
        <v>518</v>
      </c>
      <c r="B84" s="74"/>
      <c r="C84" s="74"/>
      <c r="D84" s="74"/>
      <c r="E84" s="74"/>
      <c r="F84" s="74"/>
      <c r="G84" s="74"/>
      <c r="H84" s="74"/>
    </row>
    <row r="85" spans="1:8" ht="18" x14ac:dyDescent="0.2">
      <c r="A85" s="70" t="s">
        <v>481</v>
      </c>
      <c r="B85" s="70" t="s">
        <v>519</v>
      </c>
    </row>
    <row r="86" spans="1:8" ht="18" x14ac:dyDescent="0.2">
      <c r="A86" s="70" t="s">
        <v>481</v>
      </c>
      <c r="B86" s="70" t="s">
        <v>520</v>
      </c>
    </row>
    <row r="87" spans="1:8" ht="18" x14ac:dyDescent="0.2">
      <c r="A87" s="70" t="s">
        <v>481</v>
      </c>
      <c r="B87" s="70" t="s">
        <v>521</v>
      </c>
    </row>
    <row r="88" spans="1:8" ht="23" x14ac:dyDescent="0.25">
      <c r="A88" s="71" t="s">
        <v>522</v>
      </c>
    </row>
    <row r="90" spans="1:8" ht="18" x14ac:dyDescent="0.2">
      <c r="A90" s="73" t="s">
        <v>523</v>
      </c>
      <c r="B90" s="74"/>
      <c r="C90" s="74"/>
      <c r="D90" s="74"/>
      <c r="E90" s="74"/>
      <c r="F90" s="74"/>
      <c r="G90" s="74"/>
      <c r="H90" s="74"/>
    </row>
    <row r="91" spans="1:8" ht="19" x14ac:dyDescent="0.25">
      <c r="A91" s="72">
        <f>IF(Number_Scenarios=0,0,IFERROR(INDEX(tbl_ScenarioHours[],MATCH(Authoring_Tool,tbl_ScenarioHours[Authoring tool],0),MATCH(Scenario_Complexity,tbl_ScenarioHours[#Headers],0)),0))</f>
        <v>7</v>
      </c>
    </row>
    <row r="92" spans="1:8" ht="18" x14ac:dyDescent="0.2">
      <c r="A92" s="73" t="s">
        <v>513</v>
      </c>
      <c r="B92" s="73" t="s">
        <v>299</v>
      </c>
      <c r="C92" s="74"/>
      <c r="D92" s="74"/>
      <c r="E92" s="74"/>
      <c r="F92" s="74"/>
      <c r="G92" s="74"/>
      <c r="H92" s="74"/>
    </row>
    <row r="93" spans="1:8" ht="18" x14ac:dyDescent="0.2">
      <c r="A93" s="70" t="s">
        <v>514</v>
      </c>
      <c r="B93" s="70" t="s">
        <v>524</v>
      </c>
    </row>
    <row r="94" spans="1:8" ht="18" x14ac:dyDescent="0.2">
      <c r="A94" s="70" t="s">
        <v>516</v>
      </c>
      <c r="B94" s="70" t="s">
        <v>525</v>
      </c>
    </row>
    <row r="95" spans="1:8" ht="18" x14ac:dyDescent="0.2">
      <c r="A95" s="73" t="s">
        <v>518</v>
      </c>
      <c r="B95" s="74"/>
      <c r="C95" s="74"/>
      <c r="D95" s="74"/>
      <c r="E95" s="74"/>
      <c r="F95" s="74"/>
      <c r="G95" s="74"/>
      <c r="H95" s="74"/>
    </row>
    <row r="96" spans="1:8" ht="18" x14ac:dyDescent="0.2">
      <c r="A96" s="70" t="s">
        <v>481</v>
      </c>
      <c r="B96" s="70" t="s">
        <v>526</v>
      </c>
    </row>
    <row r="97" spans="1:8" ht="18" x14ac:dyDescent="0.2">
      <c r="A97" s="70" t="s">
        <v>481</v>
      </c>
      <c r="B97" s="70" t="s">
        <v>527</v>
      </c>
    </row>
    <row r="98" spans="1:8" ht="18" x14ac:dyDescent="0.2">
      <c r="A98" s="70" t="s">
        <v>481</v>
      </c>
      <c r="B98" s="70" t="s">
        <v>528</v>
      </c>
    </row>
    <row r="99" spans="1:8" ht="18" x14ac:dyDescent="0.2">
      <c r="A99" s="70" t="s">
        <v>481</v>
      </c>
      <c r="B99" s="70" t="s">
        <v>529</v>
      </c>
    </row>
    <row r="100" spans="1:8" ht="23" x14ac:dyDescent="0.25">
      <c r="A100" s="71" t="s">
        <v>530</v>
      </c>
    </row>
    <row r="102" spans="1:8" ht="18" x14ac:dyDescent="0.2">
      <c r="A102" s="73" t="s">
        <v>531</v>
      </c>
      <c r="B102" s="74"/>
      <c r="C102" s="74"/>
      <c r="D102" s="74"/>
      <c r="E102" s="74"/>
      <c r="F102" s="74"/>
      <c r="G102" s="74"/>
      <c r="H102" s="74"/>
    </row>
    <row r="103" spans="1:8" ht="18" x14ac:dyDescent="0.2">
      <c r="A103" s="68" t="s">
        <v>532</v>
      </c>
      <c r="B103" s="68" t="s">
        <v>533</v>
      </c>
      <c r="C103" s="68" t="s">
        <v>468</v>
      </c>
    </row>
    <row r="104" spans="1:8" ht="18" x14ac:dyDescent="0.2">
      <c r="A104" s="70">
        <v>1</v>
      </c>
      <c r="B104" s="70" t="s">
        <v>534</v>
      </c>
      <c r="C104" s="70" t="s">
        <v>535</v>
      </c>
    </row>
    <row r="105" spans="1:8" ht="18" x14ac:dyDescent="0.2">
      <c r="A105" s="70">
        <v>2</v>
      </c>
      <c r="B105" s="70" t="s">
        <v>536</v>
      </c>
      <c r="C105" s="70" t="s">
        <v>537</v>
      </c>
    </row>
    <row r="106" spans="1:8" ht="18" x14ac:dyDescent="0.2">
      <c r="A106" s="70">
        <v>3</v>
      </c>
      <c r="B106" s="70" t="s">
        <v>538</v>
      </c>
      <c r="C106" s="70" t="s">
        <v>539</v>
      </c>
    </row>
    <row r="107" spans="1:8" ht="18" x14ac:dyDescent="0.2">
      <c r="A107" s="70">
        <v>4</v>
      </c>
      <c r="B107" s="70" t="s">
        <v>540</v>
      </c>
      <c r="C107" s="70" t="s">
        <v>541</v>
      </c>
    </row>
    <row r="108" spans="1:8" ht="18" x14ac:dyDescent="0.2">
      <c r="A108" s="70">
        <v>5</v>
      </c>
      <c r="B108" s="70" t="s">
        <v>542</v>
      </c>
      <c r="C108" s="70" t="s">
        <v>543</v>
      </c>
    </row>
    <row r="109" spans="1:8" ht="18" x14ac:dyDescent="0.2">
      <c r="A109" s="70">
        <v>6</v>
      </c>
      <c r="B109" s="70" t="s">
        <v>544</v>
      </c>
      <c r="C109" s="70" t="s">
        <v>545</v>
      </c>
    </row>
    <row r="110" spans="1:8" ht="18" x14ac:dyDescent="0.2">
      <c r="A110" s="70" t="s">
        <v>546</v>
      </c>
    </row>
    <row r="111" spans="1:8" ht="18" x14ac:dyDescent="0.2">
      <c r="A111" s="73" t="s">
        <v>547</v>
      </c>
      <c r="B111" s="74"/>
      <c r="C111" s="74"/>
      <c r="D111" s="74"/>
      <c r="E111" s="74"/>
      <c r="F111" s="74"/>
      <c r="G111" s="74"/>
      <c r="H111" s="74"/>
    </row>
    <row r="112" spans="1:8" ht="18" x14ac:dyDescent="0.2">
      <c r="A112" s="68" t="s">
        <v>532</v>
      </c>
      <c r="B112" s="68" t="s">
        <v>533</v>
      </c>
      <c r="C112" s="68" t="s">
        <v>468</v>
      </c>
    </row>
    <row r="113" spans="1:8" ht="18" x14ac:dyDescent="0.2">
      <c r="A113" s="70">
        <v>1</v>
      </c>
      <c r="B113" s="70" t="s">
        <v>548</v>
      </c>
      <c r="C113" s="70" t="s">
        <v>535</v>
      </c>
    </row>
    <row r="114" spans="1:8" ht="18" x14ac:dyDescent="0.2">
      <c r="A114" s="70">
        <v>2</v>
      </c>
      <c r="B114" s="70" t="s">
        <v>536</v>
      </c>
      <c r="C114" s="70" t="s">
        <v>537</v>
      </c>
    </row>
    <row r="115" spans="1:8" ht="18" x14ac:dyDescent="0.2">
      <c r="A115" s="70">
        <v>3</v>
      </c>
      <c r="B115" s="70" t="s">
        <v>538</v>
      </c>
      <c r="C115" s="70" t="s">
        <v>549</v>
      </c>
    </row>
    <row r="116" spans="1:8" ht="18" x14ac:dyDescent="0.2">
      <c r="A116" s="70">
        <v>4</v>
      </c>
      <c r="B116" s="70" t="s">
        <v>550</v>
      </c>
      <c r="C116" s="70" t="s">
        <v>551</v>
      </c>
    </row>
    <row r="117" spans="1:8" ht="18" x14ac:dyDescent="0.2">
      <c r="A117" s="70">
        <v>5</v>
      </c>
      <c r="B117" s="70" t="s">
        <v>552</v>
      </c>
      <c r="C117" s="70" t="s">
        <v>553</v>
      </c>
    </row>
    <row r="118" spans="1:8" ht="18" x14ac:dyDescent="0.2">
      <c r="A118" s="70">
        <v>6</v>
      </c>
      <c r="B118" s="70" t="s">
        <v>554</v>
      </c>
      <c r="C118" s="70" t="s">
        <v>555</v>
      </c>
    </row>
    <row r="119" spans="1:8" ht="18" x14ac:dyDescent="0.2">
      <c r="A119" s="70" t="s">
        <v>546</v>
      </c>
    </row>
    <row r="120" spans="1:8" ht="18" x14ac:dyDescent="0.2">
      <c r="A120" s="73" t="s">
        <v>556</v>
      </c>
      <c r="B120" s="74"/>
      <c r="C120" s="74"/>
      <c r="D120" s="74"/>
      <c r="E120" s="74"/>
      <c r="F120" s="74"/>
      <c r="G120" s="74"/>
      <c r="H120" s="74"/>
    </row>
    <row r="121" spans="1:8" ht="18" x14ac:dyDescent="0.2">
      <c r="A121" s="68" t="s">
        <v>532</v>
      </c>
      <c r="B121" s="68" t="s">
        <v>533</v>
      </c>
      <c r="C121" s="68" t="s">
        <v>468</v>
      </c>
    </row>
    <row r="122" spans="1:8" ht="18" x14ac:dyDescent="0.2">
      <c r="A122" s="70">
        <v>1</v>
      </c>
      <c r="B122" s="70" t="s">
        <v>557</v>
      </c>
      <c r="C122" s="70" t="s">
        <v>535</v>
      </c>
    </row>
    <row r="123" spans="1:8" ht="18" x14ac:dyDescent="0.2">
      <c r="A123" s="70">
        <v>2</v>
      </c>
      <c r="B123" s="70" t="s">
        <v>558</v>
      </c>
      <c r="C123" s="70" t="s">
        <v>377</v>
      </c>
    </row>
    <row r="124" spans="1:8" ht="18" x14ac:dyDescent="0.2">
      <c r="A124" s="70">
        <v>3</v>
      </c>
      <c r="B124" s="70" t="s">
        <v>544</v>
      </c>
      <c r="C124" s="70" t="s">
        <v>559</v>
      </c>
    </row>
    <row r="125" spans="1:8" ht="18" x14ac:dyDescent="0.2">
      <c r="A125" s="70" t="s">
        <v>560</v>
      </c>
    </row>
    <row r="126" spans="1:8" ht="18" x14ac:dyDescent="0.2">
      <c r="A126" s="73" t="s">
        <v>561</v>
      </c>
      <c r="B126" s="74"/>
      <c r="C126" s="74"/>
      <c r="D126" s="74"/>
      <c r="E126" s="74"/>
      <c r="F126" s="74"/>
      <c r="G126" s="74"/>
      <c r="H126" s="74"/>
    </row>
    <row r="127" spans="1:8" ht="18" x14ac:dyDescent="0.2">
      <c r="A127" s="68" t="s">
        <v>532</v>
      </c>
      <c r="B127" s="68" t="s">
        <v>533</v>
      </c>
      <c r="C127" s="68" t="s">
        <v>468</v>
      </c>
    </row>
    <row r="128" spans="1:8" ht="18" x14ac:dyDescent="0.2">
      <c r="A128" s="70">
        <v>1</v>
      </c>
      <c r="B128" s="70" t="s">
        <v>562</v>
      </c>
      <c r="C128" s="70" t="s">
        <v>535</v>
      </c>
    </row>
    <row r="129" spans="1:8" ht="18" x14ac:dyDescent="0.2">
      <c r="A129" s="70">
        <v>2</v>
      </c>
      <c r="B129" s="70" t="s">
        <v>563</v>
      </c>
      <c r="C129" s="70" t="s">
        <v>564</v>
      </c>
    </row>
    <row r="130" spans="1:8" ht="18" x14ac:dyDescent="0.2">
      <c r="A130" s="70">
        <v>3</v>
      </c>
      <c r="B130" s="70" t="s">
        <v>565</v>
      </c>
      <c r="C130" s="70" t="s">
        <v>566</v>
      </c>
    </row>
    <row r="131" spans="1:8" ht="18" x14ac:dyDescent="0.2">
      <c r="A131" s="70">
        <v>4</v>
      </c>
      <c r="B131" s="70" t="s">
        <v>544</v>
      </c>
      <c r="C131" s="70" t="s">
        <v>567</v>
      </c>
    </row>
    <row r="132" spans="1:8" ht="18" x14ac:dyDescent="0.2">
      <c r="A132" s="70" t="s">
        <v>568</v>
      </c>
    </row>
    <row r="133" spans="1:8" ht="23" x14ac:dyDescent="0.25">
      <c r="A133" s="71" t="s">
        <v>569</v>
      </c>
    </row>
    <row r="135" spans="1:8" ht="18" x14ac:dyDescent="0.2">
      <c r="A135" s="73" t="s">
        <v>570</v>
      </c>
      <c r="B135" s="73" t="s">
        <v>571</v>
      </c>
      <c r="C135" s="73" t="s">
        <v>572</v>
      </c>
      <c r="D135" s="74"/>
      <c r="E135" s="74"/>
      <c r="F135" s="74"/>
      <c r="G135" s="74"/>
      <c r="H135" s="74"/>
    </row>
    <row r="136" spans="1:8" ht="18" x14ac:dyDescent="0.2">
      <c r="A136" s="70" t="s">
        <v>573</v>
      </c>
      <c r="B136" s="70" t="s">
        <v>574</v>
      </c>
      <c r="C136" s="70" t="s">
        <v>575</v>
      </c>
    </row>
    <row r="137" spans="1:8" ht="18" x14ac:dyDescent="0.2">
      <c r="A137" s="70" t="s">
        <v>576</v>
      </c>
      <c r="B137" s="70" t="s">
        <v>577</v>
      </c>
      <c r="C137" s="70" t="s">
        <v>578</v>
      </c>
    </row>
    <row r="138" spans="1:8" ht="18" x14ac:dyDescent="0.2">
      <c r="A138" s="70" t="s">
        <v>579</v>
      </c>
      <c r="B138" s="70" t="s">
        <v>580</v>
      </c>
      <c r="C138" s="70" t="s">
        <v>581</v>
      </c>
    </row>
    <row r="139" spans="1:8" ht="18" x14ac:dyDescent="0.2">
      <c r="A139" s="70" t="s">
        <v>582</v>
      </c>
      <c r="B139" s="70" t="s">
        <v>583</v>
      </c>
      <c r="C139" s="70" t="s">
        <v>584</v>
      </c>
    </row>
    <row r="140" spans="1:8" ht="18" x14ac:dyDescent="0.2">
      <c r="A140" s="70" t="s">
        <v>585</v>
      </c>
      <c r="B140" s="70" t="s">
        <v>586</v>
      </c>
      <c r="C140" s="70" t="s">
        <v>587</v>
      </c>
    </row>
    <row r="141" spans="1:8" ht="23" x14ac:dyDescent="0.25">
      <c r="A141" s="71" t="s">
        <v>588</v>
      </c>
    </row>
    <row r="143" spans="1:8" ht="18" x14ac:dyDescent="0.2">
      <c r="A143" s="73" t="s">
        <v>589</v>
      </c>
      <c r="B143" s="73" t="s">
        <v>590</v>
      </c>
      <c r="C143" s="73" t="s">
        <v>591</v>
      </c>
      <c r="D143" s="74"/>
      <c r="E143" s="74"/>
      <c r="F143" s="74"/>
      <c r="G143" s="74"/>
      <c r="H143" s="74"/>
    </row>
    <row r="144" spans="1:8" ht="18" x14ac:dyDescent="0.2">
      <c r="A144" s="68" t="s">
        <v>592</v>
      </c>
    </row>
    <row r="145" spans="1:8" ht="18" x14ac:dyDescent="0.2">
      <c r="A145" s="70" t="s">
        <v>295</v>
      </c>
      <c r="B145" s="70" t="s">
        <v>593</v>
      </c>
      <c r="C145" s="70" t="s">
        <v>594</v>
      </c>
    </row>
    <row r="146" spans="1:8" ht="18" x14ac:dyDescent="0.2">
      <c r="A146" s="70" t="s">
        <v>595</v>
      </c>
      <c r="B146" s="70" t="s">
        <v>596</v>
      </c>
      <c r="C146" s="70" t="s">
        <v>597</v>
      </c>
    </row>
    <row r="147" spans="1:8" ht="18" x14ac:dyDescent="0.2">
      <c r="A147" s="70" t="s">
        <v>598</v>
      </c>
      <c r="B147" s="70" t="s">
        <v>599</v>
      </c>
      <c r="C147" s="70" t="s">
        <v>600</v>
      </c>
    </row>
    <row r="148" spans="1:8" ht="18" x14ac:dyDescent="0.2">
      <c r="A148" s="70" t="s">
        <v>601</v>
      </c>
      <c r="B148" s="70" t="s">
        <v>602</v>
      </c>
      <c r="C148" s="70" t="s">
        <v>603</v>
      </c>
    </row>
    <row r="149" spans="1:8" ht="18" x14ac:dyDescent="0.2">
      <c r="A149" s="68" t="s">
        <v>604</v>
      </c>
    </row>
    <row r="150" spans="1:8" ht="18" x14ac:dyDescent="0.2">
      <c r="A150" s="70" t="s">
        <v>605</v>
      </c>
      <c r="B150" s="70" t="s">
        <v>606</v>
      </c>
      <c r="C150" s="70" t="s">
        <v>607</v>
      </c>
    </row>
    <row r="151" spans="1:8" ht="18" x14ac:dyDescent="0.2">
      <c r="A151" s="70" t="s">
        <v>608</v>
      </c>
      <c r="B151" s="70" t="s">
        <v>609</v>
      </c>
      <c r="C151" s="70" t="s">
        <v>610</v>
      </c>
    </row>
    <row r="152" spans="1:8" ht="18" x14ac:dyDescent="0.2">
      <c r="A152" s="70" t="s">
        <v>611</v>
      </c>
      <c r="B152" s="70" t="s">
        <v>612</v>
      </c>
      <c r="C152" s="70" t="s">
        <v>613</v>
      </c>
    </row>
    <row r="153" spans="1:8" ht="18" x14ac:dyDescent="0.2">
      <c r="A153" s="70" t="s">
        <v>614</v>
      </c>
      <c r="B153" s="70" t="s">
        <v>615</v>
      </c>
      <c r="C153" s="70" t="s">
        <v>616</v>
      </c>
    </row>
    <row r="154" spans="1:8" ht="18" x14ac:dyDescent="0.2">
      <c r="A154" s="68" t="s">
        <v>617</v>
      </c>
    </row>
    <row r="155" spans="1:8" ht="18" x14ac:dyDescent="0.2">
      <c r="A155" s="70" t="s">
        <v>618</v>
      </c>
      <c r="B155" s="70" t="s">
        <v>619</v>
      </c>
      <c r="C155" s="70" t="s">
        <v>620</v>
      </c>
    </row>
    <row r="156" spans="1:8" ht="18" x14ac:dyDescent="0.2">
      <c r="A156" s="70" t="s">
        <v>621</v>
      </c>
      <c r="B156" s="70" t="s">
        <v>622</v>
      </c>
      <c r="C156" s="70" t="s">
        <v>623</v>
      </c>
    </row>
    <row r="157" spans="1:8" ht="18" x14ac:dyDescent="0.2">
      <c r="A157" s="70" t="s">
        <v>624</v>
      </c>
      <c r="B157" s="70" t="s">
        <v>625</v>
      </c>
      <c r="C157" s="70" t="s">
        <v>626</v>
      </c>
    </row>
    <row r="158" spans="1:8" ht="23" x14ac:dyDescent="0.25">
      <c r="A158" s="71" t="s">
        <v>627</v>
      </c>
    </row>
    <row r="160" spans="1:8" ht="18" x14ac:dyDescent="0.2">
      <c r="A160" s="73" t="s">
        <v>628</v>
      </c>
      <c r="B160" s="73" t="s">
        <v>629</v>
      </c>
      <c r="C160" s="74"/>
      <c r="D160" s="74"/>
      <c r="E160" s="74"/>
      <c r="F160" s="74"/>
      <c r="G160" s="74"/>
      <c r="H160" s="74"/>
    </row>
    <row r="161" spans="1:8" ht="18" x14ac:dyDescent="0.2">
      <c r="A161" s="68" t="s">
        <v>630</v>
      </c>
    </row>
    <row r="162" spans="1:8" ht="18" x14ac:dyDescent="0.2">
      <c r="A162" s="70">
        <v>1</v>
      </c>
      <c r="B162" s="70" t="s">
        <v>631</v>
      </c>
    </row>
    <row r="163" spans="1:8" ht="18" x14ac:dyDescent="0.2">
      <c r="A163" s="70">
        <v>2</v>
      </c>
      <c r="B163" s="70" t="s">
        <v>632</v>
      </c>
    </row>
    <row r="164" spans="1:8" ht="18" x14ac:dyDescent="0.2">
      <c r="A164" s="70">
        <v>3</v>
      </c>
      <c r="B164" s="70" t="s">
        <v>633</v>
      </c>
    </row>
    <row r="165" spans="1:8" ht="18" x14ac:dyDescent="0.2">
      <c r="A165" s="70">
        <v>4</v>
      </c>
      <c r="B165" s="70" t="s">
        <v>634</v>
      </c>
    </row>
    <row r="166" spans="1:8" ht="18" x14ac:dyDescent="0.2">
      <c r="A166" s="68" t="s">
        <v>635</v>
      </c>
    </row>
    <row r="167" spans="1:8" ht="18" x14ac:dyDescent="0.2">
      <c r="A167" s="70">
        <v>1</v>
      </c>
      <c r="B167" s="70" t="s">
        <v>636</v>
      </c>
    </row>
    <row r="168" spans="1:8" ht="18" x14ac:dyDescent="0.2">
      <c r="A168" s="70">
        <v>2</v>
      </c>
      <c r="B168" s="70" t="s">
        <v>637</v>
      </c>
    </row>
    <row r="169" spans="1:8" ht="18" x14ac:dyDescent="0.2">
      <c r="A169" s="70">
        <v>3</v>
      </c>
      <c r="B169" s="70" t="s">
        <v>638</v>
      </c>
    </row>
    <row r="170" spans="1:8" ht="18" x14ac:dyDescent="0.2">
      <c r="A170" s="70">
        <v>4</v>
      </c>
      <c r="B170" s="70" t="s">
        <v>639</v>
      </c>
    </row>
    <row r="171" spans="1:8" ht="18" x14ac:dyDescent="0.2">
      <c r="A171" s="70">
        <v>5</v>
      </c>
      <c r="B171" s="70" t="s">
        <v>640</v>
      </c>
    </row>
    <row r="172" spans="1:8" ht="23" x14ac:dyDescent="0.25">
      <c r="A172" s="71" t="s">
        <v>641</v>
      </c>
    </row>
    <row r="174" spans="1:8" ht="18" x14ac:dyDescent="0.2">
      <c r="A174" s="73" t="s">
        <v>392</v>
      </c>
      <c r="B174" s="73" t="s">
        <v>642</v>
      </c>
      <c r="C174" s="74"/>
      <c r="D174" s="74"/>
      <c r="E174" s="74"/>
      <c r="F174" s="74"/>
      <c r="G174" s="74"/>
      <c r="H174" s="74"/>
    </row>
    <row r="175" spans="1:8" ht="18" x14ac:dyDescent="0.2">
      <c r="A175" s="68" t="s">
        <v>643</v>
      </c>
      <c r="B175" s="70" t="s">
        <v>644</v>
      </c>
    </row>
    <row r="176" spans="1:8" ht="18" x14ac:dyDescent="0.2">
      <c r="A176" s="68" t="s">
        <v>645</v>
      </c>
      <c r="B176" s="70" t="s">
        <v>646</v>
      </c>
    </row>
    <row r="177" spans="1:8" ht="18" x14ac:dyDescent="0.2">
      <c r="A177" s="68" t="s">
        <v>647</v>
      </c>
      <c r="B177" s="70" t="s">
        <v>648</v>
      </c>
    </row>
    <row r="178" spans="1:8" ht="18" x14ac:dyDescent="0.2">
      <c r="A178" s="68" t="s">
        <v>649</v>
      </c>
      <c r="B178" s="70" t="s">
        <v>44</v>
      </c>
    </row>
    <row r="179" spans="1:8" ht="18" x14ac:dyDescent="0.2">
      <c r="A179" s="73" t="s">
        <v>650</v>
      </c>
      <c r="B179" s="74"/>
      <c r="C179" s="74"/>
      <c r="D179" s="74"/>
      <c r="E179" s="74"/>
      <c r="F179" s="74"/>
      <c r="G179" s="74"/>
      <c r="H179" s="74"/>
    </row>
    <row r="180" spans="1:8" ht="18" x14ac:dyDescent="0.2">
      <c r="A180" s="70" t="s">
        <v>651</v>
      </c>
    </row>
    <row r="181" spans="1:8" ht="18" x14ac:dyDescent="0.2">
      <c r="A181" s="70">
        <v>1</v>
      </c>
      <c r="B181" s="70" t="s">
        <v>652</v>
      </c>
    </row>
    <row r="182" spans="1:8" ht="18" x14ac:dyDescent="0.2">
      <c r="A182" s="70">
        <v>2</v>
      </c>
      <c r="B182" s="70" t="s">
        <v>653</v>
      </c>
    </row>
    <row r="183" spans="1:8" ht="18" x14ac:dyDescent="0.2">
      <c r="A183" s="70">
        <v>3</v>
      </c>
      <c r="B183" s="70" t="s">
        <v>654</v>
      </c>
    </row>
    <row r="184" spans="1:8" ht="18" x14ac:dyDescent="0.2">
      <c r="A184" s="70">
        <v>4</v>
      </c>
      <c r="B184" s="70" t="s">
        <v>655</v>
      </c>
    </row>
    <row r="185" spans="1:8" ht="18" x14ac:dyDescent="0.2">
      <c r="A185" s="68" t="s">
        <v>656</v>
      </c>
    </row>
    <row r="186" spans="1:8" ht="18" x14ac:dyDescent="0.2">
      <c r="A186" s="70" t="s">
        <v>657</v>
      </c>
    </row>
    <row r="187" spans="1:8" ht="18" x14ac:dyDescent="0.2">
      <c r="A187" s="70" t="s">
        <v>658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34</vt:i4>
      </vt:variant>
    </vt:vector>
  </HeadingPairs>
  <TitlesOfParts>
    <vt:vector size="41" baseType="lpstr">
      <vt:lpstr>Start here</vt:lpstr>
      <vt:lpstr>Project_Input</vt:lpstr>
      <vt:lpstr>Cost_Breakdown</vt:lpstr>
      <vt:lpstr>Risk_Assessment</vt:lpstr>
      <vt:lpstr>Calculations</vt:lpstr>
      <vt:lpstr>Lookup_Tables</vt:lpstr>
      <vt:lpstr>Maintenance_Guide</vt:lpstr>
      <vt:lpstr>Accessibility_Testing_Level</vt:lpstr>
      <vt:lpstr>Animation_Type</vt:lpstr>
      <vt:lpstr>Assessment_Questions</vt:lpstr>
      <vt:lpstr>Assessment_Type</vt:lpstr>
      <vt:lpstr>Audio_Required</vt:lpstr>
      <vt:lpstr>Authoring_Tool</vt:lpstr>
      <vt:lpstr>Base_Development_Hours</vt:lpstr>
      <vt:lpstr>Certificate_Type</vt:lpstr>
      <vt:lpstr>Compliance_Level</vt:lpstr>
      <vt:lpstr>Content_Type</vt:lpstr>
      <vt:lpstr>Contingency</vt:lpstr>
      <vt:lpstr>Development_Subtotal</vt:lpstr>
      <vt:lpstr>Existing_Content_Percent</vt:lpstr>
      <vt:lpstr>LD_Rate</vt:lpstr>
      <vt:lpstr>Media_Subtotal</vt:lpstr>
      <vt:lpstr>New_Content_Percent</vt:lpstr>
      <vt:lpstr>Number_Scenarios</vt:lpstr>
      <vt:lpstr>Platform</vt:lpstr>
      <vt:lpstr>Platform_Hosting_Cost</vt:lpstr>
      <vt:lpstr>Cost_Breakdown!Print_Area</vt:lpstr>
      <vt:lpstr>Project_Duration</vt:lpstr>
      <vt:lpstr>Project_Name</vt:lpstr>
      <vt:lpstr>Project_Subtotal</vt:lpstr>
      <vt:lpstr>Reflection_Activities</vt:lpstr>
      <vt:lpstr>Scenario_Complexity</vt:lpstr>
      <vt:lpstr>Scenario_Hours_Each</vt:lpstr>
      <vt:lpstr>SME_Cost_Total</vt:lpstr>
      <vt:lpstr>SME_Rate</vt:lpstr>
      <vt:lpstr>Target_Audience</vt:lpstr>
      <vt:lpstr>Total_Dev_Hours</vt:lpstr>
      <vt:lpstr>Total_Project_Cost</vt:lpstr>
      <vt:lpstr>Total_Scenario_Hours</vt:lpstr>
      <vt:lpstr>Video_Scenarios_Required</vt:lpstr>
      <vt:lpstr>Visual_Media_Type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Tamsyn Smith</cp:lastModifiedBy>
  <cp:revision/>
  <dcterms:created xsi:type="dcterms:W3CDTF">2025-07-03T21:22:21Z</dcterms:created>
  <dcterms:modified xsi:type="dcterms:W3CDTF">2025-11-28T08:49:24Z</dcterms:modified>
  <cp:category/>
  <cp:contentStatus/>
</cp:coreProperties>
</file>